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<sst xmlns="http://schemas.openxmlformats.org/spreadsheetml/2006/main" count="142" uniqueCount="122">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</sst>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60"/>
      <name val="Times New Roman CYR"/>
      <family val="1"/>
    </font>
    <font>
      <b/>
      <i/>
      <sz val="9"/>
      <color indexed="60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/>
      <right style="double"/>
      <top style="medium"/>
      <bottom style="thin"/>
    </border>
    <border>
      <left/>
      <right style="double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/>
      <bottom style="double"/>
    </border>
    <border>
      <left style="medium"/>
      <right style="double"/>
      <top/>
      <bottom style="double"/>
    </border>
    <border>
      <left style="double"/>
      <right/>
      <top style="medium"/>
      <bottom style="thin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9" borderId="6" applyNumberFormat="0" applyAlignment="0" applyProtection="0"/>
    <xf numFmtId="0" fontId="75" fillId="29" borderId="2" applyNumberFormat="0" applyAlignment="0" applyProtection="0"/>
    <xf numFmtId="0" fontId="76" fillId="30" borderId="7" applyNumberFormat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5" fillId="0" borderId="14" xfId="39" applyNumberFormat="1" applyFont="1" applyBorder="1" applyAlignment="1" applyProtection="1">
      <alignment/>
      <protection/>
    </xf>
    <xf numFmtId="167" fontId="7" fillId="0" borderId="15" xfId="39" applyNumberFormat="1" applyFont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38" fontId="3" fillId="0" borderId="14" xfId="39" applyNumberFormat="1" applyFont="1" applyBorder="1" applyAlignment="1" applyProtection="1">
      <alignment/>
      <protection/>
    </xf>
    <xf numFmtId="167" fontId="7" fillId="0" borderId="15" xfId="39" applyNumberFormat="1" applyFont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8" xfId="39" applyNumberFormat="1" applyFont="1" applyBorder="1" applyAlignment="1" applyProtection="1">
      <alignment/>
      <protection/>
    </xf>
    <xf numFmtId="167" fontId="4" fillId="0" borderId="19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Fill="1" applyBorder="1" applyAlignment="1" applyProtection="1">
      <alignment/>
      <protection/>
    </xf>
    <xf numFmtId="167" fontId="4" fillId="0" borderId="17" xfId="39" applyNumberFormat="1" applyFont="1" applyFill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167" fontId="4" fillId="0" borderId="19" xfId="39" applyNumberFormat="1" applyFont="1" applyBorder="1" applyAlignment="1" applyProtection="1">
      <alignment horizontal="center" vertical="center"/>
      <protection/>
    </xf>
    <xf numFmtId="0" fontId="20" fillId="34" borderId="20" xfId="38" applyFont="1" applyFill="1" applyBorder="1" applyAlignment="1" applyProtection="1">
      <alignment vertical="center"/>
      <protection/>
    </xf>
    <xf numFmtId="164" fontId="3" fillId="34" borderId="21" xfId="39" applyNumberFormat="1" applyFont="1" applyFill="1" applyBorder="1" applyAlignment="1" applyProtection="1">
      <alignment/>
      <protection/>
    </xf>
    <xf numFmtId="164" fontId="4" fillId="34" borderId="22" xfId="39" applyNumberFormat="1" applyFont="1" applyFill="1" applyBorder="1" applyAlignment="1" applyProtection="1">
      <alignment/>
      <protection/>
    </xf>
    <xf numFmtId="0" fontId="14" fillId="34" borderId="23" xfId="38" applyFont="1" applyFill="1" applyBorder="1" applyAlignment="1" applyProtection="1">
      <alignment horizontal="left" vertical="center"/>
      <protection/>
    </xf>
    <xf numFmtId="164" fontId="4" fillId="34" borderId="24" xfId="39" applyNumberFormat="1" applyFont="1" applyFill="1" applyBorder="1" applyAlignment="1" applyProtection="1">
      <alignment horizontal="left" vertical="center"/>
      <protection/>
    </xf>
    <xf numFmtId="164" fontId="4" fillId="34" borderId="25" xfId="39" applyNumberFormat="1" applyFont="1" applyFill="1" applyBorder="1" applyAlignment="1" applyProtection="1">
      <alignment horizontal="left" vertical="center"/>
      <protection/>
    </xf>
    <xf numFmtId="0" fontId="8" fillId="34" borderId="23" xfId="38" applyFont="1" applyFill="1" applyBorder="1" applyAlignment="1" applyProtection="1">
      <alignment vertical="center"/>
      <protection/>
    </xf>
    <xf numFmtId="164" fontId="4" fillId="34" borderId="24" xfId="39" applyNumberFormat="1" applyFont="1" applyFill="1" applyBorder="1" applyAlignment="1" applyProtection="1">
      <alignment vertical="center"/>
      <protection/>
    </xf>
    <xf numFmtId="164" fontId="4" fillId="34" borderId="25" xfId="39" applyNumberFormat="1" applyFont="1" applyFill="1" applyBorder="1" applyAlignment="1" applyProtection="1">
      <alignment horizontal="center" vertical="center"/>
      <protection/>
    </xf>
    <xf numFmtId="164" fontId="3" fillId="0" borderId="21" xfId="39" applyNumberFormat="1" applyFont="1" applyFill="1" applyBorder="1" applyAlignment="1" applyProtection="1">
      <alignment/>
      <protection/>
    </xf>
    <xf numFmtId="38" fontId="7" fillId="37" borderId="26" xfId="39" applyNumberFormat="1" applyFont="1" applyFill="1" applyBorder="1" applyAlignment="1" applyProtection="1">
      <alignment/>
      <protection/>
    </xf>
    <xf numFmtId="167" fontId="7" fillId="37" borderId="27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4" fillId="38" borderId="18" xfId="39" applyNumberFormat="1" applyFont="1" applyFill="1" applyBorder="1" applyAlignment="1" applyProtection="1">
      <alignment/>
      <protection/>
    </xf>
    <xf numFmtId="38" fontId="7" fillId="39" borderId="26" xfId="39" applyNumberFormat="1" applyFont="1" applyFill="1" applyBorder="1" applyAlignment="1" applyProtection="1">
      <alignment/>
      <protection/>
    </xf>
    <xf numFmtId="167" fontId="7" fillId="39" borderId="27" xfId="39" applyNumberFormat="1" applyFont="1" applyFill="1" applyBorder="1" applyAlignment="1" applyProtection="1">
      <alignment horizontal="center"/>
      <protection/>
    </xf>
    <xf numFmtId="38" fontId="7" fillId="37" borderId="28" xfId="39" applyNumberFormat="1" applyFont="1" applyFill="1" applyBorder="1" applyAlignment="1" applyProtection="1">
      <alignment horizontal="center" vertical="center"/>
      <protection/>
    </xf>
    <xf numFmtId="38" fontId="3" fillId="37" borderId="29" xfId="39" applyNumberFormat="1" applyFont="1" applyFill="1" applyBorder="1" applyAlignment="1" applyProtection="1">
      <alignment horizontal="center" vertical="center"/>
      <protection/>
    </xf>
    <xf numFmtId="167" fontId="3" fillId="37" borderId="30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31" xfId="39" applyNumberFormat="1" applyFont="1" applyFill="1" applyBorder="1" applyAlignment="1" applyProtection="1">
      <alignment horizontal="center" vertical="center" wrapText="1"/>
      <protection/>
    </xf>
    <xf numFmtId="164" fontId="3" fillId="37" borderId="31" xfId="39" applyNumberFormat="1" applyFont="1" applyFill="1" applyBorder="1" applyAlignment="1" applyProtection="1">
      <alignment horizontal="center" vertical="center"/>
      <protection/>
    </xf>
    <xf numFmtId="164" fontId="3" fillId="37" borderId="25" xfId="39" applyNumberFormat="1" applyFont="1" applyFill="1" applyBorder="1" applyAlignment="1" applyProtection="1">
      <alignment horizontal="center" vertical="center"/>
      <protection/>
    </xf>
    <xf numFmtId="38" fontId="7" fillId="40" borderId="28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9" xfId="39" applyNumberFormat="1" applyFont="1" applyFill="1" applyBorder="1" applyAlignment="1" applyProtection="1">
      <alignment horizontal="center" vertical="center"/>
      <protection/>
    </xf>
    <xf numFmtId="166" fontId="3" fillId="40" borderId="32" xfId="39" applyNumberFormat="1" applyFont="1" applyFill="1" applyBorder="1" applyAlignment="1" applyProtection="1">
      <alignment horizontal="center" vertical="center"/>
      <protection/>
    </xf>
    <xf numFmtId="164" fontId="11" fillId="40" borderId="31" xfId="39" applyNumberFormat="1" applyFont="1" applyFill="1" applyBorder="1" applyAlignment="1" applyProtection="1">
      <alignment horizontal="center" vertical="center" wrapText="1"/>
      <protection/>
    </xf>
    <xf numFmtId="164" fontId="3" fillId="40" borderId="31" xfId="39" applyNumberFormat="1" applyFont="1" applyFill="1" applyBorder="1" applyAlignment="1" applyProtection="1">
      <alignment horizontal="center" vertical="center"/>
      <protection/>
    </xf>
    <xf numFmtId="164" fontId="3" fillId="40" borderId="25" xfId="39" applyNumberFormat="1" applyFont="1" applyFill="1" applyBorder="1" applyAlignment="1" applyProtection="1">
      <alignment horizontal="center" vertical="center"/>
      <protection/>
    </xf>
    <xf numFmtId="164" fontId="3" fillId="40" borderId="31" xfId="39" applyNumberFormat="1" applyFont="1" applyFill="1" applyBorder="1" applyAlignment="1" applyProtection="1">
      <alignment horizontal="center" vertical="center" wrapText="1"/>
      <protection/>
    </xf>
    <xf numFmtId="38" fontId="13" fillId="40" borderId="33" xfId="39" applyNumberFormat="1" applyFont="1" applyFill="1" applyBorder="1" applyAlignment="1" applyProtection="1">
      <alignment/>
      <protection/>
    </xf>
    <xf numFmtId="0" fontId="6" fillId="26" borderId="34" xfId="38" applyFont="1" applyFill="1" applyBorder="1" applyProtection="1">
      <alignment/>
      <protection/>
    </xf>
    <xf numFmtId="0" fontId="17" fillId="26" borderId="26" xfId="38" applyFont="1" applyFill="1" applyBorder="1" applyProtection="1">
      <alignment/>
      <protection/>
    </xf>
    <xf numFmtId="0" fontId="6" fillId="26" borderId="35" xfId="38" applyFont="1" applyFill="1" applyBorder="1" applyProtection="1">
      <alignment/>
      <protection/>
    </xf>
    <xf numFmtId="0" fontId="18" fillId="26" borderId="26" xfId="38" applyFont="1" applyFill="1" applyBorder="1" applyProtection="1">
      <alignment/>
      <protection/>
    </xf>
    <xf numFmtId="38" fontId="84" fillId="37" borderId="20" xfId="39" applyNumberFormat="1" applyFont="1" applyFill="1" applyBorder="1" applyAlignment="1" applyProtection="1">
      <alignment horizontal="center" vertical="center"/>
      <protection/>
    </xf>
    <xf numFmtId="38" fontId="85" fillId="40" borderId="20" xfId="39" applyNumberFormat="1" applyFont="1" applyFill="1" applyBorder="1" applyAlignment="1" applyProtection="1">
      <alignment horizontal="center" vertical="center"/>
      <protection/>
    </xf>
    <xf numFmtId="0" fontId="25" fillId="34" borderId="36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6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7" xfId="39" applyNumberFormat="1" applyFont="1" applyFill="1" applyBorder="1" applyAlignment="1" applyProtection="1">
      <alignment horizontal="left"/>
      <protection/>
    </xf>
    <xf numFmtId="0" fontId="86" fillId="34" borderId="37" xfId="37" applyFont="1" applyFill="1" applyBorder="1" applyAlignment="1" applyProtection="1">
      <alignment horizontal="left"/>
      <protection/>
    </xf>
    <xf numFmtId="0" fontId="7" fillId="34" borderId="37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8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3" xfId="37" applyFont="1" applyFill="1" applyBorder="1" applyAlignment="1" applyProtection="1">
      <alignment vertical="center"/>
      <protection/>
    </xf>
    <xf numFmtId="0" fontId="6" fillId="34" borderId="24" xfId="37" applyFont="1" applyFill="1" applyBorder="1" applyProtection="1">
      <alignment/>
      <protection/>
    </xf>
    <xf numFmtId="0" fontId="87" fillId="34" borderId="39" xfId="38" applyFont="1" applyFill="1" applyBorder="1" applyAlignment="1" applyProtection="1">
      <alignment horizontal="left" vertical="center"/>
      <protection/>
    </xf>
    <xf numFmtId="0" fontId="88" fillId="34" borderId="39" xfId="37" applyFont="1" applyFill="1" applyBorder="1" applyAlignment="1" applyProtection="1">
      <alignment horizontal="left" vertical="center"/>
      <protection/>
    </xf>
    <xf numFmtId="0" fontId="6" fillId="34" borderId="25" xfId="37" applyFont="1" applyFill="1" applyBorder="1" applyProtection="1">
      <alignment/>
      <protection/>
    </xf>
    <xf numFmtId="164" fontId="28" fillId="37" borderId="25" xfId="39" applyNumberFormat="1" applyFont="1" applyFill="1" applyBorder="1" applyAlignment="1" applyProtection="1">
      <alignment horizontal="center" vertical="center" wrapText="1"/>
      <protection/>
    </xf>
    <xf numFmtId="168" fontId="8" fillId="0" borderId="21" xfId="39" applyNumberFormat="1" applyFont="1" applyBorder="1" applyAlignment="1" applyProtection="1">
      <alignment horizontal="center"/>
      <protection/>
    </xf>
    <xf numFmtId="168" fontId="8" fillId="0" borderId="22" xfId="39" applyNumberFormat="1" applyFont="1" applyBorder="1" applyAlignment="1" applyProtection="1">
      <alignment horizontal="center"/>
      <protection/>
    </xf>
    <xf numFmtId="164" fontId="3" fillId="0" borderId="40" xfId="39" applyNumberFormat="1" applyFont="1" applyBorder="1" applyAlignment="1" applyProtection="1">
      <alignment/>
      <protection/>
    </xf>
    <xf numFmtId="164" fontId="4" fillId="0" borderId="41" xfId="39" applyNumberFormat="1" applyFont="1" applyBorder="1" applyAlignment="1" applyProtection="1">
      <alignment/>
      <protection/>
    </xf>
    <xf numFmtId="164" fontId="3" fillId="0" borderId="42" xfId="39" applyNumberFormat="1" applyFont="1" applyBorder="1" applyAlignment="1" applyProtection="1">
      <alignment/>
      <protection/>
    </xf>
    <xf numFmtId="164" fontId="4" fillId="0" borderId="43" xfId="39" applyNumberFormat="1" applyFont="1" applyBorder="1" applyAlignment="1" applyProtection="1">
      <alignment/>
      <protection/>
    </xf>
    <xf numFmtId="164" fontId="3" fillId="35" borderId="44" xfId="39" applyNumberFormat="1" applyFont="1" applyFill="1" applyBorder="1" applyAlignment="1" applyProtection="1">
      <alignment/>
      <protection/>
    </xf>
    <xf numFmtId="164" fontId="4" fillId="35" borderId="45" xfId="39" applyNumberFormat="1" applyFont="1" applyFill="1" applyBorder="1" applyAlignment="1" applyProtection="1">
      <alignment/>
      <protection/>
    </xf>
    <xf numFmtId="164" fontId="3" fillId="0" borderId="21" xfId="39" applyNumberFormat="1" applyFont="1" applyBorder="1" applyAlignment="1" applyProtection="1">
      <alignment/>
      <protection/>
    </xf>
    <xf numFmtId="164" fontId="4" fillId="0" borderId="22" xfId="39" applyNumberFormat="1" applyFont="1" applyBorder="1" applyAlignment="1" applyProtection="1">
      <alignment/>
      <protection/>
    </xf>
    <xf numFmtId="164" fontId="7" fillId="41" borderId="46" xfId="39" applyNumberFormat="1" applyFont="1" applyFill="1" applyBorder="1" applyAlignment="1" applyProtection="1">
      <alignment/>
      <protection/>
    </xf>
    <xf numFmtId="164" fontId="9" fillId="41" borderId="47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21" xfId="39" applyNumberFormat="1" applyFont="1" applyBorder="1" applyAlignment="1" applyProtection="1">
      <alignment/>
      <protection/>
    </xf>
    <xf numFmtId="38" fontId="13" fillId="37" borderId="33" xfId="39" applyNumberFormat="1" applyFont="1" applyFill="1" applyBorder="1" applyAlignment="1" applyProtection="1">
      <alignment/>
      <protection/>
    </xf>
    <xf numFmtId="167" fontId="13" fillId="37" borderId="48" xfId="39" applyNumberFormat="1" applyFont="1" applyFill="1" applyBorder="1" applyAlignment="1" applyProtection="1">
      <alignment horizontal="center"/>
      <protection/>
    </xf>
    <xf numFmtId="164" fontId="7" fillId="37" borderId="49" xfId="39" applyNumberFormat="1" applyFont="1" applyFill="1" applyBorder="1" applyAlignment="1" applyProtection="1">
      <alignment/>
      <protection/>
    </xf>
    <xf numFmtId="164" fontId="9" fillId="37" borderId="50" xfId="39" applyNumberFormat="1" applyFont="1" applyFill="1" applyBorder="1" applyAlignment="1" applyProtection="1">
      <alignment/>
      <protection/>
    </xf>
    <xf numFmtId="164" fontId="3" fillId="0" borderId="51" xfId="39" applyNumberFormat="1" applyFont="1" applyBorder="1" applyAlignment="1" applyProtection="1">
      <alignment/>
      <protection/>
    </xf>
    <xf numFmtId="164" fontId="4" fillId="0" borderId="52" xfId="39" applyNumberFormat="1" applyFont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8" fillId="34" borderId="39" xfId="38" applyFont="1" applyFill="1" applyBorder="1" applyAlignment="1" applyProtection="1">
      <alignment vertical="center"/>
      <protection/>
    </xf>
    <xf numFmtId="0" fontId="28" fillId="34" borderId="39" xfId="38" applyFont="1" applyFill="1" applyBorder="1" applyAlignment="1" applyProtection="1">
      <alignment horizontal="left" vertical="center"/>
      <protection/>
    </xf>
    <xf numFmtId="0" fontId="8" fillId="34" borderId="39" xfId="37" applyFont="1" applyFill="1" applyBorder="1" applyAlignment="1" applyProtection="1">
      <alignment horizontal="left" vertical="center"/>
      <protection/>
    </xf>
    <xf numFmtId="164" fontId="28" fillId="40" borderId="25" xfId="39" applyNumberFormat="1" applyFont="1" applyFill="1" applyBorder="1" applyAlignment="1" applyProtection="1">
      <alignment horizontal="center" vertical="center" wrapText="1"/>
      <protection/>
    </xf>
    <xf numFmtId="164" fontId="3" fillId="0" borderId="40" xfId="39" applyNumberFormat="1" applyFont="1" applyFill="1" applyBorder="1" applyAlignment="1" applyProtection="1">
      <alignment/>
      <protection/>
    </xf>
    <xf numFmtId="164" fontId="4" fillId="0" borderId="41" xfId="39" applyNumberFormat="1" applyFont="1" applyFill="1" applyBorder="1" applyAlignment="1" applyProtection="1">
      <alignment/>
      <protection/>
    </xf>
    <xf numFmtId="164" fontId="3" fillId="0" borderId="40" xfId="39" applyNumberFormat="1" applyFont="1" applyBorder="1" applyAlignment="1" applyProtection="1">
      <alignment horizontal="right"/>
      <protection/>
    </xf>
    <xf numFmtId="164" fontId="4" fillId="0" borderId="41" xfId="39" applyNumberFormat="1" applyFont="1" applyBorder="1" applyAlignment="1" applyProtection="1">
      <alignment horizontal="right"/>
      <protection/>
    </xf>
    <xf numFmtId="164" fontId="3" fillId="36" borderId="44" xfId="39" applyNumberFormat="1" applyFont="1" applyFill="1" applyBorder="1" applyAlignment="1" applyProtection="1">
      <alignment/>
      <protection/>
    </xf>
    <xf numFmtId="164" fontId="4" fillId="36" borderId="45" xfId="39" applyNumberFormat="1" applyFont="1" applyFill="1" applyBorder="1" applyAlignment="1" applyProtection="1">
      <alignment/>
      <protection/>
    </xf>
    <xf numFmtId="167" fontId="29" fillId="40" borderId="48" xfId="39" applyNumberFormat="1" applyFont="1" applyFill="1" applyBorder="1" applyAlignment="1" applyProtection="1">
      <alignment horizontal="center" vertical="center"/>
      <protection/>
    </xf>
    <xf numFmtId="164" fontId="7" fillId="40" borderId="49" xfId="39" applyNumberFormat="1" applyFont="1" applyFill="1" applyBorder="1" applyAlignment="1" applyProtection="1">
      <alignment horizontal="right"/>
      <protection/>
    </xf>
    <xf numFmtId="164" fontId="9" fillId="40" borderId="50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7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7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7" xfId="37" applyFont="1" applyFill="1" applyBorder="1" applyProtection="1">
      <alignment/>
      <protection/>
    </xf>
    <xf numFmtId="0" fontId="7" fillId="34" borderId="37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0" fontId="30" fillId="26" borderId="53" xfId="38" applyFont="1" applyFill="1" applyBorder="1" applyProtection="1">
      <alignment/>
      <protection/>
    </xf>
    <xf numFmtId="4" fontId="31" fillId="42" borderId="54" xfId="0" applyNumberFormat="1" applyFont="1" applyFill="1" applyBorder="1" applyAlignment="1" applyProtection="1">
      <alignment horizontal="center"/>
      <protection/>
    </xf>
    <xf numFmtId="4" fontId="32" fillId="42" borderId="55" xfId="0" applyNumberFormat="1" applyFont="1" applyFill="1" applyBorder="1" applyAlignment="1" applyProtection="1">
      <alignment horizontal="center"/>
      <protection/>
    </xf>
    <xf numFmtId="4" fontId="31" fillId="43" borderId="54" xfId="0" applyNumberFormat="1" applyFont="1" applyFill="1" applyBorder="1" applyAlignment="1" applyProtection="1">
      <alignment horizontal="center"/>
      <protection/>
    </xf>
    <xf numFmtId="4" fontId="32" fillId="43" borderId="55" xfId="0" applyNumberFormat="1" applyFont="1" applyFill="1" applyBorder="1" applyAlignment="1" applyProtection="1">
      <alignment horizontal="center"/>
      <protection/>
    </xf>
    <xf numFmtId="4" fontId="31" fillId="44" borderId="54" xfId="0" applyNumberFormat="1" applyFont="1" applyFill="1" applyBorder="1" applyAlignment="1" applyProtection="1">
      <alignment horizontal="center"/>
      <protection/>
    </xf>
    <xf numFmtId="4" fontId="32" fillId="44" borderId="55" xfId="0" applyNumberFormat="1" applyFont="1" applyFill="1" applyBorder="1" applyAlignment="1" applyProtection="1">
      <alignment horizontal="center"/>
      <protection/>
    </xf>
    <xf numFmtId="4" fontId="8" fillId="34" borderId="31" xfId="0" applyNumberFormat="1" applyFont="1" applyFill="1" applyBorder="1" applyAlignment="1" applyProtection="1">
      <alignment horizontal="center"/>
      <protection/>
    </xf>
    <xf numFmtId="4" fontId="33" fillId="34" borderId="56" xfId="0" applyNumberFormat="1" applyFont="1" applyFill="1" applyBorder="1" applyAlignment="1" applyProtection="1">
      <alignment horizontal="center"/>
      <protection/>
    </xf>
    <xf numFmtId="172" fontId="10" fillId="42" borderId="54" xfId="0" applyNumberFormat="1" applyFont="1" applyFill="1" applyBorder="1" applyAlignment="1" applyProtection="1">
      <alignment horizontal="center"/>
      <protection/>
    </xf>
    <xf numFmtId="172" fontId="23" fillId="42" borderId="55" xfId="0" applyNumberFormat="1" applyFont="1" applyFill="1" applyBorder="1" applyAlignment="1" applyProtection="1">
      <alignment horizontal="center"/>
      <protection/>
    </xf>
    <xf numFmtId="172" fontId="6" fillId="33" borderId="0" xfId="38" applyNumberFormat="1" applyFont="1" applyFill="1" applyProtection="1">
      <alignment/>
      <protection/>
    </xf>
    <xf numFmtId="172" fontId="10" fillId="43" borderId="54" xfId="0" applyNumberFormat="1" applyFont="1" applyFill="1" applyBorder="1" applyAlignment="1" applyProtection="1">
      <alignment horizontal="center"/>
      <protection/>
    </xf>
    <xf numFmtId="172" fontId="23" fillId="43" borderId="55" xfId="0" applyNumberFormat="1" applyFont="1" applyFill="1" applyBorder="1" applyAlignment="1" applyProtection="1">
      <alignment horizontal="center"/>
      <protection/>
    </xf>
    <xf numFmtId="172" fontId="10" fillId="44" borderId="54" xfId="0" applyNumberFormat="1" applyFont="1" applyFill="1" applyBorder="1" applyAlignment="1" applyProtection="1">
      <alignment horizontal="center"/>
      <protection/>
    </xf>
    <xf numFmtId="172" fontId="23" fillId="44" borderId="55" xfId="0" applyNumberFormat="1" applyFont="1" applyFill="1" applyBorder="1" applyAlignment="1" applyProtection="1">
      <alignment horizontal="center"/>
      <protection/>
    </xf>
    <xf numFmtId="172" fontId="3" fillId="34" borderId="31" xfId="0" applyNumberFormat="1" applyFont="1" applyFill="1" applyBorder="1" applyAlignment="1" applyProtection="1">
      <alignment horizontal="center"/>
      <protection/>
    </xf>
    <xf numFmtId="172" fontId="19" fillId="34" borderId="56" xfId="0" applyNumberFormat="1" applyFont="1" applyFill="1" applyBorder="1" applyAlignment="1" applyProtection="1">
      <alignment horizontal="center"/>
      <protection/>
    </xf>
    <xf numFmtId="0" fontId="6" fillId="45" borderId="0" xfId="38" applyFont="1" applyFill="1" applyProtection="1">
      <alignment/>
      <protection/>
    </xf>
    <xf numFmtId="0" fontId="3" fillId="45" borderId="0" xfId="38" applyFont="1" applyFill="1" applyAlignment="1" applyProtection="1">
      <alignment horizontal="right"/>
      <protection/>
    </xf>
    <xf numFmtId="0" fontId="11" fillId="38" borderId="57" xfId="38" applyFont="1" applyFill="1" applyBorder="1" applyProtection="1">
      <alignment/>
      <protection/>
    </xf>
    <xf numFmtId="173" fontId="89" fillId="38" borderId="58" xfId="38" applyNumberFormat="1" applyFont="1" applyFill="1" applyBorder="1" applyAlignment="1" applyProtection="1">
      <alignment horizontal="left"/>
      <protection/>
    </xf>
    <xf numFmtId="0" fontId="11" fillId="38" borderId="59" xfId="38" applyFont="1" applyFill="1" applyBorder="1" applyProtection="1">
      <alignment/>
      <protection/>
    </xf>
    <xf numFmtId="174" fontId="89" fillId="38" borderId="60" xfId="38" applyNumberFormat="1" applyFont="1" applyFill="1" applyBorder="1" applyAlignment="1" applyProtection="1">
      <alignment horizontal="center"/>
      <protection/>
    </xf>
    <xf numFmtId="0" fontId="8" fillId="26" borderId="61" xfId="38" applyFont="1" applyFill="1" applyBorder="1" applyAlignment="1" applyProtection="1">
      <alignment horizontal="center"/>
      <protection/>
    </xf>
    <xf numFmtId="0" fontId="33" fillId="26" borderId="61" xfId="38" applyFont="1" applyFill="1" applyBorder="1" applyAlignment="1" applyProtection="1">
      <alignment horizontal="center"/>
      <protection/>
    </xf>
    <xf numFmtId="0" fontId="8" fillId="26" borderId="62" xfId="38" applyFont="1" applyFill="1" applyBorder="1" applyAlignment="1" applyProtection="1">
      <alignment horizontal="center"/>
      <protection/>
    </xf>
    <xf numFmtId="0" fontId="33" fillId="26" borderId="62" xfId="38" applyFont="1" applyFill="1" applyBorder="1" applyAlignment="1" applyProtection="1">
      <alignment horizontal="center"/>
      <protection/>
    </xf>
    <xf numFmtId="0" fontId="6" fillId="33" borderId="63" xfId="38" applyFont="1" applyFill="1" applyBorder="1" applyProtection="1">
      <alignment/>
      <protection/>
    </xf>
    <xf numFmtId="164" fontId="3" fillId="0" borderId="64" xfId="39" applyNumberFormat="1" applyFont="1" applyBorder="1" applyAlignment="1" applyProtection="1">
      <alignment/>
      <protection/>
    </xf>
    <xf numFmtId="164" fontId="19" fillId="0" borderId="64" xfId="39" applyNumberFormat="1" applyFont="1" applyBorder="1" applyAlignment="1" applyProtection="1">
      <alignment/>
      <protection/>
    </xf>
    <xf numFmtId="0" fontId="6" fillId="33" borderId="64" xfId="38" applyFont="1" applyFill="1" applyBorder="1" applyProtection="1">
      <alignment/>
      <protection/>
    </xf>
    <xf numFmtId="164" fontId="3" fillId="0" borderId="65" xfId="39" applyNumberFormat="1" applyFont="1" applyBorder="1" applyAlignment="1" applyProtection="1">
      <alignment/>
      <protection/>
    </xf>
    <xf numFmtId="164" fontId="19" fillId="0" borderId="65" xfId="39" applyNumberFormat="1" applyFont="1" applyBorder="1" applyAlignment="1" applyProtection="1">
      <alignment/>
      <protection/>
    </xf>
    <xf numFmtId="164" fontId="3" fillId="26" borderId="36" xfId="39" applyNumberFormat="1" applyFont="1" applyFill="1" applyBorder="1" applyAlignment="1" applyProtection="1">
      <alignment/>
      <protection/>
    </xf>
    <xf numFmtId="164" fontId="19" fillId="26" borderId="36" xfId="39" applyNumberFormat="1" applyFont="1" applyFill="1" applyBorder="1" applyAlignment="1" applyProtection="1">
      <alignment/>
      <protection/>
    </xf>
    <xf numFmtId="168" fontId="3" fillId="0" borderId="65" xfId="39" applyNumberFormat="1" applyFont="1" applyBorder="1" applyAlignment="1" applyProtection="1">
      <alignment/>
      <protection/>
    </xf>
    <xf numFmtId="168" fontId="19" fillId="0" borderId="65" xfId="39" applyNumberFormat="1" applyFont="1" applyBorder="1" applyAlignment="1" applyProtection="1">
      <alignment/>
      <protection/>
    </xf>
    <xf numFmtId="4" fontId="8" fillId="38" borderId="36" xfId="0" applyNumberFormat="1" applyFont="1" applyFill="1" applyBorder="1" applyAlignment="1" applyProtection="1">
      <alignment horizontal="center"/>
      <protection/>
    </xf>
    <xf numFmtId="4" fontId="8" fillId="38" borderId="36" xfId="0" applyNumberFormat="1" applyFont="1" applyFill="1" applyBorder="1" applyAlignment="1" applyProtection="1">
      <alignment horizontal="center"/>
      <protection/>
    </xf>
    <xf numFmtId="174" fontId="89" fillId="38" borderId="58" xfId="38" applyNumberFormat="1" applyFont="1" applyFill="1" applyBorder="1" applyAlignment="1" applyProtection="1">
      <alignment horizontal="left"/>
      <protection/>
    </xf>
    <xf numFmtId="168" fontId="3" fillId="39" borderId="66" xfId="39" applyNumberFormat="1" applyFont="1" applyFill="1" applyBorder="1" applyAlignment="1" applyProtection="1">
      <alignment/>
      <protection/>
    </xf>
    <xf numFmtId="168" fontId="19" fillId="39" borderId="67" xfId="39" applyNumberFormat="1" applyFont="1" applyFill="1" applyBorder="1" applyAlignment="1" applyProtection="1">
      <alignment/>
      <protection/>
    </xf>
    <xf numFmtId="167" fontId="8" fillId="39" borderId="61" xfId="39" applyNumberFormat="1" applyFont="1" applyFill="1" applyBorder="1" applyAlignment="1" applyProtection="1">
      <alignment horizontal="center"/>
      <protection/>
    </xf>
    <xf numFmtId="167" fontId="33" fillId="39" borderId="61" xfId="39" applyNumberFormat="1" applyFont="1" applyFill="1" applyBorder="1" applyAlignment="1" applyProtection="1">
      <alignment horizontal="center"/>
      <protection/>
    </xf>
    <xf numFmtId="167" fontId="8" fillId="39" borderId="62" xfId="39" applyNumberFormat="1" applyFont="1" applyFill="1" applyBorder="1" applyAlignment="1" applyProtection="1">
      <alignment horizontal="center"/>
      <protection/>
    </xf>
    <xf numFmtId="167" fontId="33" fillId="39" borderId="62" xfId="39" applyNumberFormat="1" applyFont="1" applyFill="1" applyBorder="1" applyAlignment="1" applyProtection="1">
      <alignment horizontal="center"/>
      <protection/>
    </xf>
    <xf numFmtId="164" fontId="3" fillId="0" borderId="61" xfId="39" applyNumberFormat="1" applyFont="1" applyBorder="1" applyAlignment="1" applyProtection="1">
      <alignment/>
      <protection/>
    </xf>
    <xf numFmtId="164" fontId="19" fillId="0" borderId="68" xfId="39" applyNumberFormat="1" applyFont="1" applyBorder="1" applyAlignment="1" applyProtection="1">
      <alignment/>
      <protection/>
    </xf>
    <xf numFmtId="168" fontId="3" fillId="45" borderId="64" xfId="39" applyNumberFormat="1" applyFont="1" applyFill="1" applyBorder="1" applyAlignment="1" applyProtection="1">
      <alignment/>
      <protection/>
    </xf>
    <xf numFmtId="168" fontId="19" fillId="45" borderId="64" xfId="39" applyNumberFormat="1" applyFont="1" applyFill="1" applyBorder="1" applyAlignment="1" applyProtection="1">
      <alignment/>
      <protection/>
    </xf>
    <xf numFmtId="164" fontId="3" fillId="0" borderId="69" xfId="39" applyNumberFormat="1" applyFont="1" applyBorder="1" applyAlignment="1" applyProtection="1">
      <alignment/>
      <protection/>
    </xf>
    <xf numFmtId="164" fontId="19" fillId="0" borderId="69" xfId="39" applyNumberFormat="1" applyFont="1" applyBorder="1" applyAlignment="1" applyProtection="1">
      <alignment/>
      <protection/>
    </xf>
    <xf numFmtId="164" fontId="3" fillId="39" borderId="36" xfId="39" applyNumberFormat="1" applyFont="1" applyFill="1" applyBorder="1" applyAlignment="1" applyProtection="1">
      <alignment/>
      <protection/>
    </xf>
    <xf numFmtId="164" fontId="19" fillId="39" borderId="36" xfId="39" applyNumberFormat="1" applyFont="1" applyFill="1" applyBorder="1" applyAlignment="1" applyProtection="1">
      <alignment/>
      <protection/>
    </xf>
    <xf numFmtId="0" fontId="6" fillId="45" borderId="0" xfId="37" applyFont="1" applyFill="1" applyProtection="1">
      <alignment/>
      <protection/>
    </xf>
    <xf numFmtId="0" fontId="8" fillId="38" borderId="66" xfId="38" applyFont="1" applyFill="1" applyBorder="1" applyProtection="1">
      <alignment/>
      <protection/>
    </xf>
    <xf numFmtId="0" fontId="6" fillId="38" borderId="67" xfId="38" applyFont="1" applyFill="1" applyBorder="1" applyProtection="1">
      <alignment/>
      <protection/>
    </xf>
    <xf numFmtId="172" fontId="8" fillId="34" borderId="36" xfId="0" applyNumberFormat="1" applyFont="1" applyFill="1" applyBorder="1" applyAlignment="1" applyProtection="1">
      <alignment horizontal="center"/>
      <protection/>
    </xf>
    <xf numFmtId="172" fontId="8" fillId="34" borderId="61" xfId="0" applyNumberFormat="1" applyFont="1" applyFill="1" applyBorder="1" applyAlignment="1" applyProtection="1">
      <alignment horizontal="center"/>
      <protection/>
    </xf>
    <xf numFmtId="0" fontId="90" fillId="46" borderId="70" xfId="0" applyFont="1" applyFill="1" applyBorder="1" applyAlignment="1" applyProtection="1">
      <alignment/>
      <protection/>
    </xf>
    <xf numFmtId="0" fontId="91" fillId="46" borderId="71" xfId="0" applyFont="1" applyFill="1" applyBorder="1" applyAlignment="1" applyProtection="1">
      <alignment/>
      <protection/>
    </xf>
    <xf numFmtId="0" fontId="90" fillId="46" borderId="72" xfId="0" applyFont="1" applyFill="1" applyBorder="1" applyAlignment="1" applyProtection="1">
      <alignment/>
      <protection/>
    </xf>
    <xf numFmtId="0" fontId="91" fillId="46" borderId="73" xfId="0" applyFont="1" applyFill="1" applyBorder="1" applyAlignment="1" applyProtection="1">
      <alignment/>
      <protection/>
    </xf>
    <xf numFmtId="0" fontId="40" fillId="46" borderId="72" xfId="0" applyFont="1" applyFill="1" applyBorder="1" applyAlignment="1" applyProtection="1">
      <alignment horizontal="left" vertical="center"/>
      <protection/>
    </xf>
    <xf numFmtId="173" fontId="92" fillId="46" borderId="73" xfId="0" applyNumberFormat="1" applyFont="1" applyFill="1" applyBorder="1" applyAlignment="1" applyProtection="1">
      <alignment horizontal="left"/>
      <protection/>
    </xf>
    <xf numFmtId="0" fontId="40" fillId="46" borderId="74" xfId="0" applyFont="1" applyFill="1" applyBorder="1" applyAlignment="1" applyProtection="1">
      <alignment vertical="center"/>
      <protection/>
    </xf>
    <xf numFmtId="175" fontId="92" fillId="46" borderId="75" xfId="0" applyNumberFormat="1" applyFont="1" applyFill="1" applyBorder="1" applyAlignment="1" applyProtection="1">
      <alignment horizontal="left" vertical="center"/>
      <protection/>
    </xf>
    <xf numFmtId="4" fontId="8" fillId="45" borderId="76" xfId="0" applyNumberFormat="1" applyFont="1" applyFill="1" applyBorder="1" applyAlignment="1" applyProtection="1">
      <alignment horizontal="center"/>
      <protection/>
    </xf>
    <xf numFmtId="4" fontId="33" fillId="45" borderId="0" xfId="0" applyNumberFormat="1" applyFont="1" applyFill="1" applyBorder="1" applyAlignment="1" applyProtection="1">
      <alignment horizontal="center"/>
      <protection/>
    </xf>
    <xf numFmtId="0" fontId="22" fillId="34" borderId="77" xfId="37" applyFont="1" applyFill="1" applyBorder="1" applyAlignment="1" applyProtection="1">
      <alignment horizontal="center"/>
      <protection/>
    </xf>
    <xf numFmtId="0" fontId="25" fillId="34" borderId="66" xfId="38" applyFont="1" applyFill="1" applyBorder="1" applyAlignment="1" applyProtection="1">
      <alignment horizontal="center" vertical="center"/>
      <protection/>
    </xf>
    <xf numFmtId="0" fontId="25" fillId="34" borderId="78" xfId="38" applyFont="1" applyFill="1" applyBorder="1" applyAlignment="1" applyProtection="1">
      <alignment horizontal="center" vertical="center"/>
      <protection/>
    </xf>
    <xf numFmtId="0" fontId="25" fillId="34" borderId="67" xfId="38" applyFont="1" applyFill="1" applyBorder="1" applyAlignment="1" applyProtection="1">
      <alignment horizontal="center" vertical="center"/>
      <protection/>
    </xf>
    <xf numFmtId="0" fontId="25" fillId="34" borderId="66" xfId="37" applyFont="1" applyFill="1" applyBorder="1" applyAlignment="1" applyProtection="1">
      <alignment horizontal="center" vertical="center"/>
      <protection/>
    </xf>
    <xf numFmtId="0" fontId="25" fillId="34" borderId="67" xfId="37" applyFont="1" applyFill="1" applyBorder="1" applyAlignment="1" applyProtection="1">
      <alignment horizontal="center" vertical="center"/>
      <protection/>
    </xf>
    <xf numFmtId="0" fontId="4" fillId="34" borderId="79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80" xfId="37" applyFont="1" applyFill="1" applyBorder="1" applyAlignment="1" applyProtection="1">
      <alignment horizontal="center" vertical="top"/>
      <protection/>
    </xf>
    <xf numFmtId="166" fontId="22" fillId="38" borderId="0" xfId="39" applyNumberFormat="1" applyFont="1" applyFill="1" applyAlignment="1" applyProtection="1">
      <alignment horizontal="center"/>
      <protection/>
    </xf>
    <xf numFmtId="38" fontId="93" fillId="38" borderId="81" xfId="39" applyNumberFormat="1" applyFont="1" applyFill="1" applyBorder="1" applyAlignment="1" applyProtection="1">
      <alignment horizontal="center"/>
      <protection/>
    </xf>
    <xf numFmtId="38" fontId="93" fillId="38" borderId="38" xfId="39" applyNumberFormat="1" applyFont="1" applyFill="1" applyBorder="1" applyAlignment="1" applyProtection="1">
      <alignment horizontal="center"/>
      <protection/>
    </xf>
    <xf numFmtId="0" fontId="94" fillId="47" borderId="0" xfId="38" applyFont="1" applyFill="1" applyAlignment="1" applyProtection="1">
      <alignment horizontal="center"/>
      <protection/>
    </xf>
    <xf numFmtId="170" fontId="3" fillId="34" borderId="66" xfId="37" applyNumberFormat="1" applyFont="1" applyFill="1" applyBorder="1" applyAlignment="1" applyProtection="1">
      <alignment horizontal="center" vertical="center"/>
      <protection/>
    </xf>
    <xf numFmtId="170" fontId="3" fillId="34" borderId="67" xfId="37" applyNumberFormat="1" applyFont="1" applyFill="1" applyBorder="1" applyAlignment="1" applyProtection="1">
      <alignment horizontal="center" vertical="center"/>
      <protection/>
    </xf>
    <xf numFmtId="0" fontId="3" fillId="34" borderId="82" xfId="37" applyFont="1" applyFill="1" applyBorder="1" applyAlignment="1" applyProtection="1">
      <alignment horizontal="center" wrapText="1"/>
      <protection/>
    </xf>
    <xf numFmtId="0" fontId="3" fillId="34" borderId="83" xfId="37" applyFont="1" applyFill="1" applyBorder="1" applyAlignment="1" applyProtection="1">
      <alignment horizontal="center" wrapText="1"/>
      <protection/>
    </xf>
    <xf numFmtId="0" fontId="3" fillId="34" borderId="84" xfId="37" applyFont="1" applyFill="1" applyBorder="1" applyAlignment="1" applyProtection="1">
      <alignment horizontal="center" wrapText="1"/>
      <protection/>
    </xf>
    <xf numFmtId="0" fontId="22" fillId="34" borderId="59" xfId="38" applyFont="1" applyFill="1" applyBorder="1" applyAlignment="1" applyProtection="1">
      <alignment horizontal="center" vertical="center" wrapText="1"/>
      <protection/>
    </xf>
    <xf numFmtId="0" fontId="22" fillId="34" borderId="85" xfId="38" applyFont="1" applyFill="1" applyBorder="1" applyAlignment="1" applyProtection="1">
      <alignment horizontal="center" vertical="center" wrapText="1"/>
      <protection/>
    </xf>
    <xf numFmtId="0" fontId="22" fillId="34" borderId="60" xfId="38" applyFont="1" applyFill="1" applyBorder="1" applyAlignment="1" applyProtection="1">
      <alignment horizontal="center" vertical="center" wrapText="1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0" fontId="3" fillId="34" borderId="24" xfId="37" applyFont="1" applyFill="1" applyBorder="1" applyAlignment="1" applyProtection="1">
      <alignment horizontal="center" vertical="center"/>
      <protection/>
    </xf>
    <xf numFmtId="0" fontId="3" fillId="34" borderId="39" xfId="37" applyFont="1" applyFill="1" applyBorder="1" applyAlignment="1" applyProtection="1">
      <alignment horizontal="center" vertical="center"/>
      <protection/>
    </xf>
    <xf numFmtId="0" fontId="3" fillId="34" borderId="25" xfId="37" applyFont="1" applyFill="1" applyBorder="1" applyAlignment="1" applyProtection="1">
      <alignment horizontal="center" vertical="center"/>
      <protection/>
    </xf>
    <xf numFmtId="167" fontId="3" fillId="37" borderId="86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30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86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30" xfId="39" applyNumberFormat="1" applyFont="1" applyFill="1" applyBorder="1" applyAlignment="1" applyProtection="1">
      <alignment horizontal="center" vertical="center" textRotation="90" wrapText="1"/>
      <protection/>
    </xf>
    <xf numFmtId="0" fontId="26" fillId="34" borderId="37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59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  <sheetDataSet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35">
          <cell r="Q35" t="str">
            <v>'Intra-Balances' </v>
          </cell>
        </row>
        <row r="36">
          <cell r="Q36" t="str">
            <v>'Municipal-Bal'</v>
          </cell>
        </row>
        <row r="40">
          <cell r="P40">
            <v>0</v>
          </cell>
          <cell r="Q40">
            <v>0</v>
          </cell>
        </row>
        <row r="44">
          <cell r="P44">
            <v>0</v>
          </cell>
          <cell r="Q44">
            <v>0</v>
          </cell>
        </row>
        <row r="45">
          <cell r="P45">
            <v>1089395.02</v>
          </cell>
          <cell r="Q45">
            <v>772331.45</v>
          </cell>
        </row>
        <row r="49">
          <cell r="P49" t="str">
            <v>O K</v>
          </cell>
        </row>
        <row r="50">
          <cell r="P50" t="str">
            <v>O K</v>
          </cell>
        </row>
        <row r="64">
          <cell r="P64">
            <v>0</v>
          </cell>
          <cell r="Q64">
            <v>0</v>
          </cell>
        </row>
        <row r="65"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78">
          <cell r="P78">
            <v>0</v>
          </cell>
          <cell r="Q78">
            <v>0</v>
          </cell>
        </row>
        <row r="81">
          <cell r="P81">
            <v>0</v>
          </cell>
          <cell r="Q81">
            <v>0</v>
          </cell>
        </row>
        <row r="82">
          <cell r="P82">
            <v>1089395.02</v>
          </cell>
          <cell r="Q82">
            <v>772331.45</v>
          </cell>
        </row>
        <row r="86">
          <cell r="P86" t="str">
            <v>O K</v>
          </cell>
        </row>
        <row r="87">
          <cell r="P87" t="str">
            <v>O 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20.01.2022г.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декември 2021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62212933.96</v>
          </cell>
          <cell r="E13">
            <v>60518030.17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6134099.71</v>
          </cell>
          <cell r="E14">
            <v>6673914.65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392797.29</v>
          </cell>
          <cell r="E15">
            <v>400275.54</v>
          </cell>
          <cell r="G15">
            <v>0</v>
          </cell>
          <cell r="H15">
            <v>0</v>
          </cell>
          <cell r="J15">
            <v>36673751.83</v>
          </cell>
          <cell r="K15">
            <v>37010544.49</v>
          </cell>
        </row>
        <row r="16">
          <cell r="D16">
            <v>1665250.65</v>
          </cell>
          <cell r="E16">
            <v>1315016.62</v>
          </cell>
          <cell r="G16">
            <v>0</v>
          </cell>
          <cell r="H16">
            <v>0</v>
          </cell>
          <cell r="J16">
            <v>13194</v>
          </cell>
          <cell r="K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6730998.66</v>
          </cell>
          <cell r="K17">
            <v>7020589.02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1208776.03</v>
          </cell>
          <cell r="K18">
            <v>1203271.11</v>
          </cell>
        </row>
        <row r="19">
          <cell r="D19">
            <v>26715945</v>
          </cell>
          <cell r="E19">
            <v>26196985</v>
          </cell>
          <cell r="G19">
            <v>0</v>
          </cell>
          <cell r="H19">
            <v>0</v>
          </cell>
          <cell r="J19">
            <v>1044740</v>
          </cell>
          <cell r="K19">
            <v>1046762.18</v>
          </cell>
        </row>
        <row r="22">
          <cell r="D22">
            <v>90190.72</v>
          </cell>
          <cell r="E22">
            <v>37409.79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3530556.01</v>
          </cell>
          <cell r="E24">
            <v>2687581.17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40943.84</v>
          </cell>
          <cell r="E41">
            <v>30066.69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1501064.86</v>
          </cell>
          <cell r="E42">
            <v>51083.54</v>
          </cell>
          <cell r="G42">
            <v>14976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566190.77</v>
          </cell>
          <cell r="E45">
            <v>347220.98</v>
          </cell>
          <cell r="G45">
            <v>1174604.97</v>
          </cell>
          <cell r="H45">
            <v>772335.19</v>
          </cell>
          <cell r="J45">
            <v>0</v>
          </cell>
          <cell r="K45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11792601.31</v>
          </cell>
          <cell r="E49">
            <v>19446337.24</v>
          </cell>
          <cell r="G49">
            <v>0</v>
          </cell>
          <cell r="H49">
            <v>0</v>
          </cell>
          <cell r="J49">
            <v>127943.87</v>
          </cell>
          <cell r="K49">
            <v>82782.54</v>
          </cell>
        </row>
        <row r="55">
          <cell r="D55">
            <v>12735209.03</v>
          </cell>
          <cell r="E55">
            <v>11239736.55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12735209.03</v>
          </cell>
          <cell r="N55">
            <v>11239736.55</v>
          </cell>
        </row>
        <row r="63">
          <cell r="D63">
            <v>70401110.67</v>
          </cell>
          <cell r="E63">
            <v>76890932.21</v>
          </cell>
          <cell r="G63">
            <v>-378.28</v>
          </cell>
          <cell r="H63">
            <v>-378.28</v>
          </cell>
          <cell r="J63">
            <v>-56904.36</v>
          </cell>
          <cell r="K63">
            <v>1607.64</v>
          </cell>
        </row>
        <row r="64">
          <cell r="D64">
            <v>45734493.38</v>
          </cell>
          <cell r="E64">
            <v>49107128.5</v>
          </cell>
          <cell r="G64">
            <v>772713.47</v>
          </cell>
          <cell r="H64">
            <v>1462600.05</v>
          </cell>
          <cell r="J64">
            <v>46339678.8</v>
          </cell>
          <cell r="K64">
            <v>49914209.61</v>
          </cell>
        </row>
        <row r="65">
          <cell r="D65">
            <v>-3904437.32</v>
          </cell>
          <cell r="E65">
            <v>-9862456.66</v>
          </cell>
          <cell r="G65">
            <v>417245.77</v>
          </cell>
          <cell r="H65">
            <v>-689886.58</v>
          </cell>
          <cell r="J65">
            <v>-609706.28</v>
          </cell>
          <cell r="K65">
            <v>-3633042.81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299565.68</v>
          </cell>
          <cell r="E75">
            <v>150958.65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15255.03</v>
          </cell>
          <cell r="E78">
            <v>13701.94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0.01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D82">
            <v>1174600.99</v>
          </cell>
          <cell r="E82">
            <v>772331.45</v>
          </cell>
          <cell r="G82">
            <v>0</v>
          </cell>
          <cell r="H82">
            <v>0</v>
          </cell>
          <cell r="J82">
            <v>126336.23</v>
          </cell>
          <cell r="K82">
            <v>81174.9</v>
          </cell>
        </row>
        <row r="85">
          <cell r="D85">
            <v>921985.69</v>
          </cell>
          <cell r="E85">
            <v>631325.3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</row>
        <row r="92">
          <cell r="D92">
            <v>15411181.41</v>
          </cell>
          <cell r="E92">
            <v>13495273.14</v>
          </cell>
          <cell r="G92">
            <v>637.99</v>
          </cell>
          <cell r="H92">
            <v>2809.53</v>
          </cell>
          <cell r="J92">
            <v>0</v>
          </cell>
          <cell r="K92">
            <v>0</v>
          </cell>
          <cell r="M92">
            <v>15411819.4</v>
          </cell>
          <cell r="N92">
            <v>13498082.67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12">
        <row r="62">
          <cell r="Q62">
            <v>1</v>
          </cell>
        </row>
        <row r="63">
          <cell r="E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7" ht="17.25">
      <c r="A1" s="233" t="str">
        <f>+'[2]TRIAL-BALANCE'!E2</f>
        <v>НВУ "ВАСИЛ ЛЕВСКИ"</v>
      </c>
      <c r="B1" s="234"/>
      <c r="C1" s="234"/>
      <c r="D1" s="235"/>
      <c r="E1" s="69" t="s">
        <v>66</v>
      </c>
      <c r="F1" s="70"/>
      <c r="G1" s="231">
        <f>+'[2]TRIAL-BALANCE'!C6</f>
        <v>129009094</v>
      </c>
      <c r="H1" s="232"/>
      <c r="I1" s="70"/>
      <c r="J1" s="69" t="s">
        <v>67</v>
      </c>
      <c r="K1" s="71">
        <f>+'[2]TRIAL-BALANCE'!C8</f>
        <v>1282</v>
      </c>
      <c r="L1" s="70"/>
      <c r="M1" s="72" t="s">
        <v>68</v>
      </c>
      <c r="N1" s="68">
        <f>+'[2]TRIAL-BALANCE'!H8</f>
        <v>0</v>
      </c>
      <c r="O1" s="147"/>
      <c r="P1" s="147"/>
      <c r="Q1" s="147"/>
    </row>
    <row r="2" spans="1:17" ht="15">
      <c r="A2" s="224" t="str">
        <f>+'[2]BALANCE-SHEET-2021-leva'!A2:D2</f>
        <v>(бюджетна организация, предприятие по чл. 165, ал. 1 от ЗПФ, поделение)</v>
      </c>
      <c r="B2" s="225"/>
      <c r="C2" s="225"/>
      <c r="D2" s="226"/>
      <c r="E2" s="250">
        <f>+'[2]BALANCE-SHEET-2021-leva'!E2</f>
        <v>0</v>
      </c>
      <c r="F2" s="250"/>
      <c r="G2" s="250"/>
      <c r="H2" s="250"/>
      <c r="I2" s="70"/>
      <c r="J2" s="230">
        <f>+'[2]BALANCE-SHEET-2021-leva'!J2:K2</f>
        <v>0</v>
      </c>
      <c r="K2" s="230"/>
      <c r="L2" s="70"/>
      <c r="M2" s="230">
        <f>+'[2]BALANCE-SHEET-2021-leva'!M2:N2</f>
        <v>0</v>
      </c>
      <c r="N2" s="230"/>
      <c r="O2" s="147"/>
      <c r="P2" s="147"/>
      <c r="Q2" s="147"/>
    </row>
    <row r="3" spans="1:17" ht="15">
      <c r="A3" s="236" t="str">
        <f>+'[2]TRIAL-BALANCE'!G4</f>
        <v>гр. Велико Търново, бул. "България" №76</v>
      </c>
      <c r="B3" s="237"/>
      <c r="C3" s="237"/>
      <c r="D3" s="238"/>
      <c r="E3" s="73" t="s">
        <v>0</v>
      </c>
      <c r="F3" s="74"/>
      <c r="G3" s="222">
        <f>+'[2]TRIAL-BALANCE'!J8</f>
        <v>0</v>
      </c>
      <c r="H3" s="223"/>
      <c r="I3" s="70"/>
      <c r="J3" s="75" t="s">
        <v>69</v>
      </c>
      <c r="K3" s="219" t="str">
        <f>+'[2]TRIAL-BALANCE'!G6</f>
        <v>nvu@nvu.bg</v>
      </c>
      <c r="L3" s="220"/>
      <c r="M3" s="220"/>
      <c r="N3" s="221"/>
      <c r="O3" s="147"/>
      <c r="P3" s="147"/>
      <c r="Q3" s="147"/>
    </row>
    <row r="4" spans="1:17" ht="15">
      <c r="A4" s="70"/>
      <c r="B4" s="70"/>
      <c r="C4" s="70"/>
      <c r="D4" s="70"/>
      <c r="E4" s="76"/>
      <c r="F4" s="70"/>
      <c r="G4" s="76"/>
      <c r="H4" s="77"/>
      <c r="I4" s="70"/>
      <c r="J4" s="74"/>
      <c r="K4" s="74"/>
      <c r="L4" s="70"/>
      <c r="M4" s="74"/>
      <c r="N4" s="74"/>
      <c r="O4" s="147"/>
      <c r="P4" s="147"/>
      <c r="Q4" s="147"/>
    </row>
    <row r="5" spans="1:17" ht="18">
      <c r="A5" s="78" t="s">
        <v>70</v>
      </c>
      <c r="B5" s="249" t="str">
        <f>+A1</f>
        <v>НВУ "ВАСИЛ ЛЕВСКИ"</v>
      </c>
      <c r="C5" s="249"/>
      <c r="D5" s="249"/>
      <c r="E5" s="249"/>
      <c r="F5" s="249"/>
      <c r="G5" s="249"/>
      <c r="H5" s="79" t="str">
        <f>+'[2]BALANCE-SHEET-2021-leva'!H5</f>
        <v>  към</v>
      </c>
      <c r="I5" s="80"/>
      <c r="J5" s="81" t="str">
        <f>+'[2]BALANCE-SHEET-2021-leva'!J5</f>
        <v>31 декември 2021 г.</v>
      </c>
      <c r="K5" s="82"/>
      <c r="L5" s="82" t="str">
        <f>+'[2]TRIAL-BALANCE'!D10</f>
        <v> Обор. ведомост</v>
      </c>
      <c r="M5" s="82" t="str">
        <f>+'[2]TRIAL-BALANCE'!C10</f>
        <v>/с б о р е н/</v>
      </c>
      <c r="N5" s="83" t="s">
        <v>71</v>
      </c>
      <c r="O5" s="147"/>
      <c r="P5" s="147"/>
      <c r="Q5" s="147"/>
    </row>
    <row r="6" spans="1:17" ht="21" thickBot="1">
      <c r="A6" s="84" t="s">
        <v>72</v>
      </c>
      <c r="B6" s="85"/>
      <c r="C6" s="76"/>
      <c r="D6" s="228">
        <f>+'[2]BALANCE-SHEET-2021-leva'!D6:E6</f>
        <v>0</v>
      </c>
      <c r="E6" s="228"/>
      <c r="F6" s="86"/>
      <c r="G6" s="228">
        <f>+'[2]BALANCE-SHEET-2021-leva'!G6:H6</f>
        <v>0</v>
      </c>
      <c r="H6" s="229"/>
      <c r="I6" s="76"/>
      <c r="J6" s="74"/>
      <c r="K6" s="74"/>
      <c r="L6" s="76"/>
      <c r="M6" s="84" t="s">
        <v>73</v>
      </c>
      <c r="N6" s="74"/>
      <c r="O6" s="147"/>
      <c r="P6" s="147"/>
      <c r="Q6" s="147"/>
    </row>
    <row r="7" spans="1:17" ht="19.5" customHeight="1" thickTop="1">
      <c r="A7" s="46"/>
      <c r="B7" s="243" t="s">
        <v>94</v>
      </c>
      <c r="C7" s="86"/>
      <c r="D7" s="35" t="s">
        <v>74</v>
      </c>
      <c r="E7" s="36"/>
      <c r="F7" s="86"/>
      <c r="G7" s="32" t="s">
        <v>75</v>
      </c>
      <c r="H7" s="33"/>
      <c r="I7" s="86" t="s">
        <v>7</v>
      </c>
      <c r="J7" s="87" t="s">
        <v>76</v>
      </c>
      <c r="K7" s="88"/>
      <c r="L7" s="86"/>
      <c r="M7" s="239" t="s">
        <v>1</v>
      </c>
      <c r="N7" s="240"/>
      <c r="O7" s="147"/>
      <c r="P7" s="147"/>
      <c r="Q7" s="147"/>
    </row>
    <row r="8" spans="1:17" ht="18" thickBot="1">
      <c r="A8" s="49" t="s">
        <v>2</v>
      </c>
      <c r="B8" s="244"/>
      <c r="C8" s="86"/>
      <c r="D8" s="29" t="s">
        <v>77</v>
      </c>
      <c r="E8" s="37"/>
      <c r="F8" s="86"/>
      <c r="G8" s="89" t="s">
        <v>78</v>
      </c>
      <c r="H8" s="34"/>
      <c r="I8" s="86"/>
      <c r="J8" s="90" t="s">
        <v>79</v>
      </c>
      <c r="K8" s="91"/>
      <c r="L8" s="86"/>
      <c r="M8" s="241"/>
      <c r="N8" s="242"/>
      <c r="O8" s="147"/>
      <c r="P8" s="147"/>
      <c r="Q8" s="147"/>
    </row>
    <row r="9" spans="1:17" ht="27.75" thickBot="1">
      <c r="A9" s="66">
        <f>+'[2]BALANCE-SHEET-2021-leva'!A9</f>
        <v>0</v>
      </c>
      <c r="B9" s="245"/>
      <c r="C9" s="76"/>
      <c r="D9" s="50" t="s">
        <v>80</v>
      </c>
      <c r="E9" s="92" t="s">
        <v>81</v>
      </c>
      <c r="F9" s="20"/>
      <c r="G9" s="50" t="str">
        <f>+D9</f>
        <v>Текуща година</v>
      </c>
      <c r="H9" s="92" t="str">
        <f>+E9</f>
        <v>Предходна година (към 31 декември)</v>
      </c>
      <c r="I9" s="20"/>
      <c r="J9" s="50" t="str">
        <f>+G9</f>
        <v>Текуща година</v>
      </c>
      <c r="K9" s="92" t="str">
        <f>+H9</f>
        <v>Предходна година (към 31 декември)</v>
      </c>
      <c r="L9" s="20"/>
      <c r="M9" s="50" t="str">
        <f>+J9</f>
        <v>Текуща година</v>
      </c>
      <c r="N9" s="92" t="str">
        <f>+K9</f>
        <v>Предходна година (към 31 декември)</v>
      </c>
      <c r="O9" s="147"/>
      <c r="P9" s="147"/>
      <c r="Q9" s="147"/>
    </row>
    <row r="10" spans="1:17" ht="15.75" thickBot="1">
      <c r="A10" s="47" t="s">
        <v>3</v>
      </c>
      <c r="B10" s="48" t="s">
        <v>4</v>
      </c>
      <c r="C10" s="76"/>
      <c r="D10" s="51">
        <v>1</v>
      </c>
      <c r="E10" s="52">
        <f>1+D10</f>
        <v>2</v>
      </c>
      <c r="F10" s="20"/>
      <c r="G10" s="51">
        <f>1+E10</f>
        <v>3</v>
      </c>
      <c r="H10" s="52">
        <f>1+G10</f>
        <v>4</v>
      </c>
      <c r="I10" s="20"/>
      <c r="J10" s="51">
        <f>1+H10</f>
        <v>5</v>
      </c>
      <c r="K10" s="52">
        <f>1+J10</f>
        <v>6</v>
      </c>
      <c r="L10" s="20"/>
      <c r="M10" s="51">
        <f>1+K10</f>
        <v>7</v>
      </c>
      <c r="N10" s="52">
        <f>1+M10</f>
        <v>8</v>
      </c>
      <c r="O10" s="147"/>
      <c r="P10" s="147"/>
      <c r="Q10" s="147"/>
    </row>
    <row r="11" spans="1:17" ht="15">
      <c r="A11" s="2" t="s">
        <v>5</v>
      </c>
      <c r="B11" s="3"/>
      <c r="C11" s="86"/>
      <c r="D11" s="30"/>
      <c r="E11" s="31"/>
      <c r="F11" s="86"/>
      <c r="G11" s="30"/>
      <c r="H11" s="31"/>
      <c r="I11" s="86"/>
      <c r="J11" s="30"/>
      <c r="K11" s="31"/>
      <c r="L11" s="86"/>
      <c r="M11" s="30"/>
      <c r="N11" s="31"/>
      <c r="O11" s="147"/>
      <c r="P11" s="147"/>
      <c r="Q11" s="147"/>
    </row>
    <row r="12" spans="1:17" ht="15">
      <c r="A12" s="4" t="s">
        <v>6</v>
      </c>
      <c r="B12" s="5"/>
      <c r="C12" s="76"/>
      <c r="D12" s="93" t="str">
        <f>+IF(+OR(D13&lt;0,D14&lt;0,D15&lt;0,D16&lt;0,D22&lt;0),"НЕРАВНЕНИЕ !"," ")</f>
        <v> </v>
      </c>
      <c r="E12" s="94" t="str">
        <f>+IF(+OR(E13&lt;0,E14&lt;0,E15&lt;0,E16&lt;0,E22&lt;0),"НЕРАВНЕНИЕ !"," ")</f>
        <v> </v>
      </c>
      <c r="F12" s="76"/>
      <c r="G12" s="93" t="str">
        <f>+IF(+OR(G13&lt;0,G14&lt;0,G15&lt;0,G16&lt;0,G22&lt;0),"НЕРАВНЕНИЕ !"," ")</f>
        <v> </v>
      </c>
      <c r="H12" s="94" t="str">
        <f>+IF(+OR(H13&lt;0,H14&lt;0,H15&lt;0,H16&lt;0,H22&lt;0),"НЕРАВНЕНИЕ !"," ")</f>
        <v> </v>
      </c>
      <c r="I12" s="76"/>
      <c r="J12" s="93" t="str">
        <f>+IF(+OR(J13&lt;0,J14&lt;0,J15&lt;0,J16&lt;0,J22&lt;0),"НЕРАВНЕНИЕ !"," ")</f>
        <v> </v>
      </c>
      <c r="K12" s="94" t="str">
        <f>+IF(+OR(K13&lt;0,K14&lt;0,K15&lt;0,K16&lt;0,K22&lt;0),"НЕРАВНЕНИЕ !"," ")</f>
        <v> </v>
      </c>
      <c r="L12" s="76"/>
      <c r="M12" s="93" t="str">
        <f>+IF(+OR(M13&lt;0,M14&lt;0,M15&lt;0,M16&lt;0,M22&lt;0),"НЕРАВНЕНИЕ !"," ")</f>
        <v> </v>
      </c>
      <c r="N12" s="94" t="str">
        <f>+IF(+OR(N13&lt;0,N14&lt;0,N15&lt;0,N16&lt;0,N22&lt;0),"НЕРАВНЕНИЕ !"," ")</f>
        <v> </v>
      </c>
      <c r="O12" s="147"/>
      <c r="P12" s="147"/>
      <c r="Q12" s="147"/>
    </row>
    <row r="13" spans="1:17" ht="15">
      <c r="A13" s="21" t="s">
        <v>8</v>
      </c>
      <c r="B13" s="22">
        <v>11</v>
      </c>
      <c r="C13" s="76"/>
      <c r="D13" s="95">
        <f>+'[2]BALANCE-SHEET-2021-leva'!D13/1000+IF(+'[2]Rounding'!$C$6=$B13,+'[2]Rounding'!D$6,0)+IF(+'[2]Rounding'!$C$7=$B13,+'[2]Rounding'!D$7,0)</f>
        <v>62212.93396</v>
      </c>
      <c r="E13" s="96">
        <f>+'[2]BALANCE-SHEET-2021-leva'!E13/1000+IF(+'[2]Rounding'!$C$6=$B13,+'[2]Rounding'!E$6,0)+IF(+'[2]Rounding'!$C$7=$B13,+'[2]Rounding'!E$7,0)</f>
        <v>60518.03017</v>
      </c>
      <c r="F13" s="76"/>
      <c r="G13" s="95">
        <f>+'[2]BALANCE-SHEET-2021-leva'!G13/1000+IF(+'[2]Rounding'!$G$6=$B13,+'[2]Rounding'!H$6,0)+IF(+'[2]Rounding'!$G$7=$B13,+'[2]Rounding'!H$7,0)</f>
        <v>0</v>
      </c>
      <c r="H13" s="96">
        <f>+'[2]BALANCE-SHEET-2021-leva'!H13/1000+IF(+'[2]Rounding'!$G$6=$B13,+'[2]Rounding'!I$6,0)+IF(+'[2]Rounding'!$G$7=$B13,+'[2]Rounding'!I$7,0)</f>
        <v>0</v>
      </c>
      <c r="I13" s="76"/>
      <c r="J13" s="95">
        <f>+'[2]BALANCE-SHEET-2021-leva'!J13/1000+IF(+'[2]Rounding'!$K$6=$B13,+'[2]Rounding'!L$6,0)+IF(+'[2]Rounding'!$K$7=$B13,+'[2]Rounding'!L$7,0)</f>
        <v>0</v>
      </c>
      <c r="K13" s="96">
        <f>+'[2]BALANCE-SHEET-2021-leva'!K13/1000+IF(+'[2]Rounding'!$K$6=$B13,+'[2]Rounding'!M$6,0)+IF(+'[2]Rounding'!$K$7=$B13,+'[2]Rounding'!M$7,0)</f>
        <v>0</v>
      </c>
      <c r="L13" s="76"/>
      <c r="M13" s="95">
        <f>+D13+G13+J13+IF(+'[2]Rounding'!$O$6=$B13,+'[2]Rounding'!P$6,0)+IF(+'[2]Rounding'!$O$7=$B13,+'[2]Rounding'!P$7,0)</f>
        <v>62212.93396</v>
      </c>
      <c r="N13" s="96">
        <f>+E13+H13+K13+IF(+'[2]Rounding'!$O$6=$B13,+'[2]Rounding'!Q$6,0)+IF(+'[2]Rounding'!$O$7=$B13,+'[2]Rounding'!Q$7,0)</f>
        <v>60518.03017</v>
      </c>
      <c r="O13" s="147"/>
      <c r="P13" s="147"/>
      <c r="Q13" s="147"/>
    </row>
    <row r="14" spans="1:17" ht="15">
      <c r="A14" s="21" t="s">
        <v>82</v>
      </c>
      <c r="B14" s="22">
        <v>12</v>
      </c>
      <c r="C14" s="76"/>
      <c r="D14" s="95">
        <f>+'[2]BALANCE-SHEET-2021-leva'!D14/1000+IF(+'[2]Rounding'!$C$6=$B14,+'[2]Rounding'!D$6,0)+IF(+'[2]Rounding'!$C$7=$B14,+'[2]Rounding'!D$7,0)</f>
        <v>6134.09971</v>
      </c>
      <c r="E14" s="96">
        <f>+'[2]BALANCE-SHEET-2021-leva'!E14/1000+IF(+'[2]Rounding'!$C$6=$B14,+'[2]Rounding'!E$6,0)+IF(+'[2]Rounding'!$C$7=$B14,+'[2]Rounding'!E$7,0)</f>
        <v>6673.914650000001</v>
      </c>
      <c r="F14" s="76"/>
      <c r="G14" s="95">
        <f>+'[2]BALANCE-SHEET-2021-leva'!G14/1000+IF(+'[2]Rounding'!$G$6=$B14,+'[2]Rounding'!H$6,0)+IF(+'[2]Rounding'!$G$7=$B14,+'[2]Rounding'!H$7,0)</f>
        <v>0</v>
      </c>
      <c r="H14" s="96">
        <f>+'[2]BALANCE-SHEET-2021-leva'!H14/1000+IF(+'[2]Rounding'!$G$6=$B14,+'[2]Rounding'!I$6,0)+IF(+'[2]Rounding'!$G$7=$B14,+'[2]Rounding'!I$7,0)</f>
        <v>0</v>
      </c>
      <c r="I14" s="76"/>
      <c r="J14" s="95">
        <f>+'[2]BALANCE-SHEET-2021-leva'!J14/1000+IF(+'[2]Rounding'!$K$6=$B14,+'[2]Rounding'!L$6,0)+IF(+'[2]Rounding'!$K$7=$B14,+'[2]Rounding'!L$7,0)</f>
        <v>0</v>
      </c>
      <c r="K14" s="96">
        <f>+'[2]BALANCE-SHEET-2021-leva'!K14/1000+IF(+'[2]Rounding'!$K$6=$B14,+'[2]Rounding'!M$6,0)+IF(+'[2]Rounding'!$K$7=$B14,+'[2]Rounding'!M$7,0)</f>
        <v>0</v>
      </c>
      <c r="L14" s="76"/>
      <c r="M14" s="95">
        <f>+D14+G14+J14+IF(+'[2]Rounding'!$O$6=$B14,+'[2]Rounding'!P$6,0)+IF(+'[2]Rounding'!$O$7=$B14,+'[2]Rounding'!P$7,0)</f>
        <v>6134.09971</v>
      </c>
      <c r="N14" s="96">
        <f>+E14+H14+K14+IF(+'[2]Rounding'!$O$6=$B14,+'[2]Rounding'!Q$6,0)+IF(+'[2]Rounding'!$O$7=$B14,+'[2]Rounding'!Q$7,0)</f>
        <v>6673.914650000001</v>
      </c>
      <c r="O14" s="147"/>
      <c r="P14" s="147"/>
      <c r="Q14" s="147"/>
    </row>
    <row r="15" spans="1:17" ht="15">
      <c r="A15" s="21" t="s">
        <v>9</v>
      </c>
      <c r="B15" s="22">
        <v>13</v>
      </c>
      <c r="C15" s="76"/>
      <c r="D15" s="95">
        <f>+'[2]BALANCE-SHEET-2021-leva'!D15/1000+IF(+'[2]Rounding'!$C$6=$B15,+'[2]Rounding'!D$6,0)+IF(+'[2]Rounding'!$C$7=$B15,+'[2]Rounding'!D$7,0)</f>
        <v>392.79729</v>
      </c>
      <c r="E15" s="96">
        <f>+'[2]BALANCE-SHEET-2021-leva'!E15/1000+IF(+'[2]Rounding'!$C$6=$B15,+'[2]Rounding'!E$6,0)+IF(+'[2]Rounding'!$C$7=$B15,+'[2]Rounding'!E$7,0)</f>
        <v>400.27554</v>
      </c>
      <c r="F15" s="76"/>
      <c r="G15" s="95">
        <f>+'[2]BALANCE-SHEET-2021-leva'!G15/1000+IF(+'[2]Rounding'!$G$6=$B15,+'[2]Rounding'!H$6,0)+IF(+'[2]Rounding'!$G$7=$B15,+'[2]Rounding'!H$7,0)</f>
        <v>0</v>
      </c>
      <c r="H15" s="96">
        <f>+'[2]BALANCE-SHEET-2021-leva'!H15/1000+IF(+'[2]Rounding'!$G$6=$B15,+'[2]Rounding'!I$6,0)+IF(+'[2]Rounding'!$G$7=$B15,+'[2]Rounding'!I$7,0)</f>
        <v>0</v>
      </c>
      <c r="I15" s="76"/>
      <c r="J15" s="95">
        <f>+'[2]BALANCE-SHEET-2021-leva'!J15/1000+IF(+'[2]Rounding'!$K$6=$B15,+'[2]Rounding'!L$6,0)+IF(+'[2]Rounding'!$K$7=$B15,+'[2]Rounding'!L$7,0)</f>
        <v>36673.75183</v>
      </c>
      <c r="K15" s="96">
        <f>+'[2]BALANCE-SHEET-2021-leva'!K15/1000+IF(+'[2]Rounding'!$K$6=$B15,+'[2]Rounding'!M$6,0)+IF(+'[2]Rounding'!$K$7=$B15,+'[2]Rounding'!M$7,0)</f>
        <v>37010.54449</v>
      </c>
      <c r="L15" s="76"/>
      <c r="M15" s="95">
        <f>+D15+G15+J15+IF(+'[2]Rounding'!$O$6=$B15,+'[2]Rounding'!P$6,0)+IF(+'[2]Rounding'!$O$7=$B15,+'[2]Rounding'!P$7,0)</f>
        <v>37066.54912</v>
      </c>
      <c r="N15" s="96">
        <f>+E15+H15+K15+IF(+'[2]Rounding'!$O$6=$B15,+'[2]Rounding'!Q$6,0)+IF(+'[2]Rounding'!$O$7=$B15,+'[2]Rounding'!Q$7,0)</f>
        <v>37410.82003</v>
      </c>
      <c r="O15" s="147"/>
      <c r="P15" s="147"/>
      <c r="Q15" s="147"/>
    </row>
    <row r="16" spans="1:17" ht="15">
      <c r="A16" s="21" t="s">
        <v>10</v>
      </c>
      <c r="B16" s="22">
        <v>14</v>
      </c>
      <c r="C16" s="76"/>
      <c r="D16" s="95">
        <f>+'[2]BALANCE-SHEET-2021-leva'!D16/1000+IF(+'[2]Rounding'!$C$6=$B16,+'[2]Rounding'!D$6,0)+IF(+'[2]Rounding'!$C$7=$B16,+'[2]Rounding'!D$7,0)</f>
        <v>1665.25065</v>
      </c>
      <c r="E16" s="96">
        <f>+'[2]BALANCE-SHEET-2021-leva'!E16/1000+IF(+'[2]Rounding'!$C$6=$B16,+'[2]Rounding'!E$6,0)+IF(+'[2]Rounding'!$C$7=$B16,+'[2]Rounding'!E$7,0)</f>
        <v>1315.01662</v>
      </c>
      <c r="F16" s="76"/>
      <c r="G16" s="95">
        <f>+'[2]BALANCE-SHEET-2021-leva'!G16/1000+IF(+'[2]Rounding'!$G$6=$B16,+'[2]Rounding'!H$6,0)+IF(+'[2]Rounding'!$G$7=$B16,+'[2]Rounding'!H$7,0)</f>
        <v>0</v>
      </c>
      <c r="H16" s="96">
        <f>+'[2]BALANCE-SHEET-2021-leva'!H16/1000+IF(+'[2]Rounding'!$G$6=$B16,+'[2]Rounding'!I$6,0)+IF(+'[2]Rounding'!$G$7=$B16,+'[2]Rounding'!I$7,0)</f>
        <v>0</v>
      </c>
      <c r="I16" s="76"/>
      <c r="J16" s="95">
        <f>+'[2]BALANCE-SHEET-2021-leva'!J16/1000+IF(+'[2]Rounding'!$K$6=$B16,+'[2]Rounding'!L$6,0)+IF(+'[2]Rounding'!$K$7=$B16,+'[2]Rounding'!L$7,0)</f>
        <v>13.194</v>
      </c>
      <c r="K16" s="96">
        <f>+'[2]BALANCE-SHEET-2021-leva'!K16/1000+IF(+'[2]Rounding'!$K$6=$B16,+'[2]Rounding'!M$6,0)+IF(+'[2]Rounding'!$K$7=$B16,+'[2]Rounding'!M$7,0)</f>
        <v>0</v>
      </c>
      <c r="L16" s="76"/>
      <c r="M16" s="95">
        <f>+D16+G16+J16+IF(+'[2]Rounding'!$O$6=$B16,+'[2]Rounding'!P$6,0)+IF(+'[2]Rounding'!$O$7=$B16,+'[2]Rounding'!P$7,0)</f>
        <v>1678.44465</v>
      </c>
      <c r="N16" s="96">
        <f>+E16+H16+K16+IF(+'[2]Rounding'!$O$6=$B16,+'[2]Rounding'!Q$6,0)+IF(+'[2]Rounding'!$O$7=$B16,+'[2]Rounding'!Q$7,0)</f>
        <v>1315.01662</v>
      </c>
      <c r="O16" s="147"/>
      <c r="P16" s="147"/>
      <c r="Q16" s="147"/>
    </row>
    <row r="17" spans="1:17" ht="15">
      <c r="A17" s="21" t="s">
        <v>11</v>
      </c>
      <c r="B17" s="22">
        <v>15</v>
      </c>
      <c r="C17" s="76"/>
      <c r="D17" s="95">
        <f>+'[2]BALANCE-SHEET-2021-leva'!D17/1000+IF(+'[2]Rounding'!$C$6=$B17,+'[2]Rounding'!D$6,0)+IF(+'[2]Rounding'!$C$7=$B17,+'[2]Rounding'!D$7,0)</f>
        <v>0</v>
      </c>
      <c r="E17" s="96">
        <f>+'[2]BALANCE-SHEET-2021-leva'!E17/1000+IF(+'[2]Rounding'!$C$6=$B17,+'[2]Rounding'!E$6,0)+IF(+'[2]Rounding'!$C$7=$B17,+'[2]Rounding'!E$7,0)</f>
        <v>0</v>
      </c>
      <c r="F17" s="76"/>
      <c r="G17" s="95">
        <f>+'[2]BALANCE-SHEET-2021-leva'!G17/1000+IF(+'[2]Rounding'!$G$6=$B17,+'[2]Rounding'!H$6,0)+IF(+'[2]Rounding'!$G$7=$B17,+'[2]Rounding'!H$7,0)</f>
        <v>0</v>
      </c>
      <c r="H17" s="96">
        <f>+'[2]BALANCE-SHEET-2021-leva'!H17/1000+IF(+'[2]Rounding'!$G$6=$B17,+'[2]Rounding'!I$6,0)+IF(+'[2]Rounding'!$G$7=$B17,+'[2]Rounding'!I$7,0)</f>
        <v>0</v>
      </c>
      <c r="I17" s="76"/>
      <c r="J17" s="95">
        <f>+'[2]BALANCE-SHEET-2021-leva'!J17/1000+IF(+'[2]Rounding'!$K$6=$B17,+'[2]Rounding'!L$6,0)+IF(+'[2]Rounding'!$K$7=$B17,+'[2]Rounding'!L$7,0)</f>
        <v>6730.99866</v>
      </c>
      <c r="K17" s="96">
        <f>+'[2]BALANCE-SHEET-2021-leva'!K17/1000+IF(+'[2]Rounding'!$K$6=$B17,+'[2]Rounding'!M$6,0)+IF(+'[2]Rounding'!$K$7=$B17,+'[2]Rounding'!M$7,0)</f>
        <v>7020.589019999999</v>
      </c>
      <c r="L17" s="76"/>
      <c r="M17" s="95">
        <f>+D17+G17+J17+IF(+'[2]Rounding'!$O$6=$B17,+'[2]Rounding'!P$6,0)+IF(+'[2]Rounding'!$O$7=$B17,+'[2]Rounding'!P$7,0)</f>
        <v>6730.99866</v>
      </c>
      <c r="N17" s="96">
        <f>+E17+H17+K17+IF(+'[2]Rounding'!$O$6=$B17,+'[2]Rounding'!Q$6,0)+IF(+'[2]Rounding'!$O$7=$B17,+'[2]Rounding'!Q$7,0)</f>
        <v>7020.589019999999</v>
      </c>
      <c r="O17" s="1"/>
      <c r="P17" s="1"/>
      <c r="Q17" s="1"/>
    </row>
    <row r="18" spans="1:17" ht="15">
      <c r="A18" s="21" t="s">
        <v>83</v>
      </c>
      <c r="B18" s="22">
        <v>16</v>
      </c>
      <c r="C18" s="76"/>
      <c r="D18" s="95">
        <f>+'[2]BALANCE-SHEET-2021-leva'!D18/1000+IF(+'[2]Rounding'!$C$6=$B18,+'[2]Rounding'!D$6,0)+IF(+'[2]Rounding'!$C$7=$B18,+'[2]Rounding'!D$7,0)</f>
        <v>0</v>
      </c>
      <c r="E18" s="96">
        <f>+'[2]BALANCE-SHEET-2021-leva'!E18/1000+IF(+'[2]Rounding'!$C$6=$B18,+'[2]Rounding'!E$6,0)+IF(+'[2]Rounding'!$C$7=$B18,+'[2]Rounding'!E$7,0)</f>
        <v>0</v>
      </c>
      <c r="F18" s="76"/>
      <c r="G18" s="95">
        <f>+'[2]BALANCE-SHEET-2021-leva'!G18/1000+IF(+'[2]Rounding'!$G$6=$B18,+'[2]Rounding'!H$6,0)+IF(+'[2]Rounding'!$G$7=$B18,+'[2]Rounding'!H$7,0)</f>
        <v>0</v>
      </c>
      <c r="H18" s="96">
        <f>+'[2]BALANCE-SHEET-2021-leva'!H18/1000+IF(+'[2]Rounding'!$G$6=$B18,+'[2]Rounding'!I$6,0)+IF(+'[2]Rounding'!$G$7=$B18,+'[2]Rounding'!I$7,0)</f>
        <v>0</v>
      </c>
      <c r="I18" s="76"/>
      <c r="J18" s="95">
        <f>+'[2]BALANCE-SHEET-2021-leva'!J18/1000+IF(+'[2]Rounding'!$K$6=$B18,+'[2]Rounding'!L$6,0)+IF(+'[2]Rounding'!$K$7=$B18,+'[2]Rounding'!L$7,0)</f>
        <v>1208.77603</v>
      </c>
      <c r="K18" s="96">
        <f>+'[2]BALANCE-SHEET-2021-leva'!K18/1000+IF(+'[2]Rounding'!$K$6=$B18,+'[2]Rounding'!M$6,0)+IF(+'[2]Rounding'!$K$7=$B18,+'[2]Rounding'!M$7,0)</f>
        <v>1203.2711100000001</v>
      </c>
      <c r="L18" s="76"/>
      <c r="M18" s="95">
        <f>+D18+G18+J18+IF(+'[2]Rounding'!$O$6=$B18,+'[2]Rounding'!P$6,0)+IF(+'[2]Rounding'!$O$7=$B18,+'[2]Rounding'!P$7,0)</f>
        <v>1208.77603</v>
      </c>
      <c r="N18" s="96">
        <f>+E18+H18+K18+IF(+'[2]Rounding'!$O$6=$B18,+'[2]Rounding'!Q$6,0)+IF(+'[2]Rounding'!$O$7=$B18,+'[2]Rounding'!Q$7,0)</f>
        <v>1203.2711100000001</v>
      </c>
      <c r="O18" s="1"/>
      <c r="P18" s="1"/>
      <c r="Q18" s="1"/>
    </row>
    <row r="19" spans="1:17" ht="15">
      <c r="A19" s="23" t="s">
        <v>12</v>
      </c>
      <c r="B19" s="24">
        <v>17</v>
      </c>
      <c r="C19" s="76"/>
      <c r="D19" s="97">
        <f>+'[2]BALANCE-SHEET-2021-leva'!D19/1000+IF(+'[2]Rounding'!$C$6=$B19,+'[2]Rounding'!D$6,0)+IF(+'[2]Rounding'!$C$7=$B19,+'[2]Rounding'!D$7,0)</f>
        <v>26715.945</v>
      </c>
      <c r="E19" s="98">
        <f>+'[2]BALANCE-SHEET-2021-leva'!E19/1000+IF(+'[2]Rounding'!$C$6=$B19,+'[2]Rounding'!E$6,0)+IF(+'[2]Rounding'!$C$7=$B19,+'[2]Rounding'!E$7,0)</f>
        <v>26196.985</v>
      </c>
      <c r="F19" s="76"/>
      <c r="G19" s="97">
        <f>+'[2]BALANCE-SHEET-2021-leva'!G19/1000+IF(+'[2]Rounding'!$G$6=$B19,+'[2]Rounding'!H$6,0)+IF(+'[2]Rounding'!$G$7=$B19,+'[2]Rounding'!H$7,0)</f>
        <v>0</v>
      </c>
      <c r="H19" s="98">
        <f>+'[2]BALANCE-SHEET-2021-leva'!H19/1000+IF(+'[2]Rounding'!$G$6=$B19,+'[2]Rounding'!I$6,0)+IF(+'[2]Rounding'!$G$7=$B19,+'[2]Rounding'!I$7,0)</f>
        <v>0</v>
      </c>
      <c r="I19" s="76"/>
      <c r="J19" s="95">
        <f>+'[2]BALANCE-SHEET-2021-leva'!J19/1000+IF(+'[2]Rounding'!$K$6=$B19,+'[2]Rounding'!L$6,0)+IF(+'[2]Rounding'!$K$7=$B19,+'[2]Rounding'!L$7,0)</f>
        <v>1044.74</v>
      </c>
      <c r="K19" s="96">
        <f>+'[2]BALANCE-SHEET-2021-leva'!K19/1000+IF(+'[2]Rounding'!$K$6=$B19,+'[2]Rounding'!M$6,0)+IF(+'[2]Rounding'!$K$7=$B19,+'[2]Rounding'!M$7,0)</f>
        <v>1046.76218</v>
      </c>
      <c r="L19" s="76"/>
      <c r="M19" s="95">
        <f>+D19+G19+J19+IF(+'[2]Rounding'!$O$6=$B19,+'[2]Rounding'!P$6,0)+IF(+'[2]Rounding'!$O$7=$B19,+'[2]Rounding'!P$7,0)</f>
        <v>27760.685</v>
      </c>
      <c r="N19" s="96">
        <f>+E19+H19+K19+IF(+'[2]Rounding'!$O$6=$B19,+'[2]Rounding'!Q$6,0)+IF(+'[2]Rounding'!$O$7=$B19,+'[2]Rounding'!Q$7,0)</f>
        <v>27243.747180000002</v>
      </c>
      <c r="O19" s="1"/>
      <c r="P19" s="1"/>
      <c r="Q19" s="1"/>
    </row>
    <row r="20" spans="1:17" ht="15">
      <c r="A20" s="7" t="s">
        <v>13</v>
      </c>
      <c r="B20" s="8">
        <v>10</v>
      </c>
      <c r="C20" s="76"/>
      <c r="D20" s="99">
        <f>+D13+D14+D15+D16+D17+D18+D19</f>
        <v>97121.02661</v>
      </c>
      <c r="E20" s="100">
        <f>+E13+E14+E15+E16+E17+E18+E19</f>
        <v>95104.22198</v>
      </c>
      <c r="F20" s="76"/>
      <c r="G20" s="99">
        <f>+G13+G14+G15+G16+G17+G18+G19</f>
        <v>0</v>
      </c>
      <c r="H20" s="100">
        <f>+H13+H14+H15+H16+H17+H18+H19</f>
        <v>0</v>
      </c>
      <c r="I20" s="76"/>
      <c r="J20" s="99">
        <f>+J13+J14+J15+J16+J17+J18+J19</f>
        <v>45671.46052</v>
      </c>
      <c r="K20" s="100">
        <f>+K13+K14+K15+K16+K17+K18+K19</f>
        <v>46281.1668</v>
      </c>
      <c r="L20" s="76"/>
      <c r="M20" s="99">
        <f>+M13+M14+M15+M16+M17+M18+M19</f>
        <v>142792.48713000002</v>
      </c>
      <c r="N20" s="100">
        <f>+N13+N14+N15+N16+N17+N18+N19</f>
        <v>141385.38878</v>
      </c>
      <c r="O20" s="147"/>
      <c r="P20" s="147"/>
      <c r="Q20" s="147"/>
    </row>
    <row r="21" spans="1:17" ht="15">
      <c r="A21" s="4"/>
      <c r="B21" s="5"/>
      <c r="C21" s="76"/>
      <c r="D21" s="101"/>
      <c r="E21" s="102"/>
      <c r="F21" s="76"/>
      <c r="G21" s="101"/>
      <c r="H21" s="102"/>
      <c r="I21" s="76"/>
      <c r="J21" s="101"/>
      <c r="K21" s="102"/>
      <c r="L21" s="76"/>
      <c r="M21" s="101"/>
      <c r="N21" s="102"/>
      <c r="O21" s="147"/>
      <c r="P21" s="147"/>
      <c r="Q21" s="147"/>
    </row>
    <row r="22" spans="1:17" ht="15">
      <c r="A22" s="7" t="s">
        <v>14</v>
      </c>
      <c r="B22" s="8">
        <v>20</v>
      </c>
      <c r="C22" s="76"/>
      <c r="D22" s="99">
        <f>+'[2]BALANCE-SHEET-2021-leva'!D22/1000+IF(+'[2]Rounding'!$C$6=$B22,+'[2]Rounding'!D$6,0)+IF(+'[2]Rounding'!$C$7=$B22,+'[2]Rounding'!D$7,0)</f>
        <v>90.19072</v>
      </c>
      <c r="E22" s="100">
        <f>+'[2]BALANCE-SHEET-2021-leva'!E22/1000+IF(+'[2]Rounding'!$C$6=$B22,+'[2]Rounding'!E$6,0)+IF(+'[2]Rounding'!$C$7=$B22,+'[2]Rounding'!E$7,0)</f>
        <v>37.40979</v>
      </c>
      <c r="F22" s="76"/>
      <c r="G22" s="99">
        <f>+'[2]BALANCE-SHEET-2021-leva'!G22/1000+IF(+'[2]Rounding'!$G$6=$B22,+'[2]Rounding'!H$6,0)+IF(+'[2]Rounding'!$G$7=$B22,+'[2]Rounding'!H$7,0)</f>
        <v>0</v>
      </c>
      <c r="H22" s="100">
        <f>+'[2]BALANCE-SHEET-2021-leva'!H22/1000+IF(+'[2]Rounding'!$G$6=$B22,+'[2]Rounding'!I$6,0)+IF(+'[2]Rounding'!$G$7=$B22,+'[2]Rounding'!I$7,0)</f>
        <v>0</v>
      </c>
      <c r="I22" s="76"/>
      <c r="J22" s="99">
        <f>+'[2]BALANCE-SHEET-2021-leva'!J22/1000+IF(+'[2]Rounding'!$K$6=$B22,+'[2]Rounding'!L$6,0)+IF(+'[2]Rounding'!$K$7=$B22,+'[2]Rounding'!L$7,0)</f>
        <v>0</v>
      </c>
      <c r="K22" s="100">
        <f>+'[2]BALANCE-SHEET-2021-leva'!K22/1000+IF(+'[2]Rounding'!$K$6=$B22,+'[2]Rounding'!M$6,0)+IF(+'[2]Rounding'!$K$7=$B22,+'[2]Rounding'!M$7,0)</f>
        <v>0</v>
      </c>
      <c r="L22" s="76"/>
      <c r="M22" s="99">
        <f>+D22+G22+J22+IF(+'[2]Rounding'!$O$6=$B22,+'[2]Rounding'!P$6,0)+IF(+'[2]Rounding'!$O$7=$B22,+'[2]Rounding'!P$7,0)</f>
        <v>90.19072</v>
      </c>
      <c r="N22" s="100">
        <f>+E22+H22+K22+IF(+'[2]Rounding'!$O$6=$B22,+'[2]Rounding'!Q$6,0)+IF(+'[2]Rounding'!$O$7=$B22,+'[2]Rounding'!Q$7,0)</f>
        <v>37.40979</v>
      </c>
      <c r="O22" s="147"/>
      <c r="P22" s="147"/>
      <c r="Q22" s="147"/>
    </row>
    <row r="23" spans="1:17" ht="15">
      <c r="A23" s="4" t="s">
        <v>15</v>
      </c>
      <c r="B23" s="5"/>
      <c r="C23" s="76"/>
      <c r="D23" s="93" t="str">
        <f>+IF(+OR(D24&lt;0,D25&lt;0),"НЕРАВНЕНИЕ !"," ")</f>
        <v> </v>
      </c>
      <c r="E23" s="94" t="str">
        <f>+IF(+OR(E24&lt;0,E25&lt;0),"НЕРАВНЕНИЕ !"," ")</f>
        <v> </v>
      </c>
      <c r="F23" s="76"/>
      <c r="G23" s="93" t="str">
        <f>+IF(+OR(G24&lt;0,G25&lt;0),"НЕРАВНЕНИЕ !"," ")</f>
        <v> </v>
      </c>
      <c r="H23" s="94" t="str">
        <f>+IF(+OR(H24&lt;0,H25&lt;0),"НЕРАВНЕНИЕ !"," ")</f>
        <v> </v>
      </c>
      <c r="I23" s="76"/>
      <c r="J23" s="93" t="str">
        <f>+IF(+OR(J24&lt;0,J25&lt;0),"НЕРАВНЕНИЕ !"," ")</f>
        <v> </v>
      </c>
      <c r="K23" s="94" t="str">
        <f>+IF(+OR(K24&lt;0,K25&lt;0),"НЕРАВНЕНИЕ !"," ")</f>
        <v> </v>
      </c>
      <c r="L23" s="76"/>
      <c r="M23" s="93" t="str">
        <f>+IF(+OR(M24&lt;0,M25&lt;0),"НЕРАВНЕНИЕ !"," ")</f>
        <v> </v>
      </c>
      <c r="N23" s="94" t="str">
        <f>+IF(+OR(N24&lt;0,N25&lt;0),"НЕРАВНЕНИЕ !"," ")</f>
        <v> </v>
      </c>
      <c r="O23" s="147"/>
      <c r="P23" s="147"/>
      <c r="Q23" s="147"/>
    </row>
    <row r="24" spans="1:17" ht="15">
      <c r="A24" s="21" t="s">
        <v>16</v>
      </c>
      <c r="B24" s="22">
        <v>31</v>
      </c>
      <c r="C24" s="76"/>
      <c r="D24" s="95">
        <f>+'[2]BALANCE-SHEET-2021-leva'!D24/1000+IF(+'[2]Rounding'!$C$6=$B24,+'[2]Rounding'!D$6,0)+IF(+'[2]Rounding'!$C$7=$B24,+'[2]Rounding'!D$7,0)</f>
        <v>3530.55601</v>
      </c>
      <c r="E24" s="96">
        <f>+'[2]BALANCE-SHEET-2021-leva'!E24/1000+IF(+'[2]Rounding'!$C$6=$B24,+'[2]Rounding'!E$6,0)+IF(+'[2]Rounding'!$C$7=$B24,+'[2]Rounding'!E$7,0)</f>
        <v>2687.58117</v>
      </c>
      <c r="F24" s="76"/>
      <c r="G24" s="95">
        <f>+'[2]BALANCE-SHEET-2021-leva'!G24/1000+IF(+'[2]Rounding'!$G$6=$B24,+'[2]Rounding'!H$6,0)+IF(+'[2]Rounding'!$G$7=$B24,+'[2]Rounding'!H$7,0)</f>
        <v>0</v>
      </c>
      <c r="H24" s="96">
        <f>+'[2]BALANCE-SHEET-2021-leva'!H24/1000+IF(+'[2]Rounding'!$G$6=$B24,+'[2]Rounding'!I$6,0)+IF(+'[2]Rounding'!$G$7=$B24,+'[2]Rounding'!I$7,0)</f>
        <v>0</v>
      </c>
      <c r="I24" s="76"/>
      <c r="J24" s="95">
        <f>+'[2]BALANCE-SHEET-2021-leva'!J24/1000+IF(+'[2]Rounding'!$K$6=$B24,+'[2]Rounding'!L$6,0)+IF(+'[2]Rounding'!$K$7=$B24,+'[2]Rounding'!L$7,0)</f>
        <v>0</v>
      </c>
      <c r="K24" s="96">
        <f>+'[2]BALANCE-SHEET-2021-leva'!K24/1000+IF(+'[2]Rounding'!$K$6=$B24,+'[2]Rounding'!M$6,0)+IF(+'[2]Rounding'!$K$7=$B24,+'[2]Rounding'!M$7,0)</f>
        <v>0</v>
      </c>
      <c r="L24" s="76"/>
      <c r="M24" s="95">
        <f>+D24+G24+J24+IF(+'[2]Rounding'!$O$6=$B24,+'[2]Rounding'!P$6,0)+IF(+'[2]Rounding'!$O$7=$B24,+'[2]Rounding'!P$7,0)</f>
        <v>3530.55601</v>
      </c>
      <c r="N24" s="96">
        <f>+E24+H24+K24+IF(+'[2]Rounding'!$O$6=$B24,+'[2]Rounding'!Q$6,0)+IF(+'[2]Rounding'!$O$7=$B24,+'[2]Rounding'!Q$7,0)</f>
        <v>2687.58117</v>
      </c>
      <c r="O24" s="147"/>
      <c r="P24" s="147"/>
      <c r="Q24" s="147"/>
    </row>
    <row r="25" spans="1:17" ht="15">
      <c r="A25" s="23" t="s">
        <v>17</v>
      </c>
      <c r="B25" s="24">
        <v>32</v>
      </c>
      <c r="C25" s="76"/>
      <c r="D25" s="97">
        <f>+'[2]BALANCE-SHEET-2021-leva'!D25/1000+IF(+'[2]Rounding'!$C$6=$B25,+'[2]Rounding'!D$6,0)+IF(+'[2]Rounding'!$C$7=$B25,+'[2]Rounding'!D$7,0)</f>
        <v>0</v>
      </c>
      <c r="E25" s="98">
        <f>+'[2]BALANCE-SHEET-2021-leva'!E25/1000+IF(+'[2]Rounding'!$C$6=$B25,+'[2]Rounding'!E$6,0)+IF(+'[2]Rounding'!$C$7=$B25,+'[2]Rounding'!E$7,0)</f>
        <v>0</v>
      </c>
      <c r="F25" s="76"/>
      <c r="G25" s="97">
        <f>+'[2]BALANCE-SHEET-2021-leva'!G25/1000+IF(+'[2]Rounding'!$G$6=$B25,+'[2]Rounding'!H$6,0)+IF(+'[2]Rounding'!$G$7=$B25,+'[2]Rounding'!H$7,0)</f>
        <v>0</v>
      </c>
      <c r="H25" s="98">
        <f>+'[2]BALANCE-SHEET-2021-leva'!H25/1000+IF(+'[2]Rounding'!$G$6=$B25,+'[2]Rounding'!I$6,0)+IF(+'[2]Rounding'!$G$7=$B25,+'[2]Rounding'!I$7,0)</f>
        <v>0</v>
      </c>
      <c r="I25" s="76"/>
      <c r="J25" s="97">
        <f>+'[2]BALANCE-SHEET-2021-leva'!J25/1000+IF(+'[2]Rounding'!$K$6=$B25,+'[2]Rounding'!L$6,0)+IF(+'[2]Rounding'!$K$7=$B25,+'[2]Rounding'!L$7,0)</f>
        <v>0</v>
      </c>
      <c r="K25" s="98">
        <f>+'[2]BALANCE-SHEET-2021-leva'!K25/1000+IF(+'[2]Rounding'!$K$6=$B25,+'[2]Rounding'!M$6,0)+IF(+'[2]Rounding'!$K$7=$B25,+'[2]Rounding'!M$7,0)</f>
        <v>0</v>
      </c>
      <c r="L25" s="76"/>
      <c r="M25" s="97">
        <f>+D25+G25+J25+IF(+'[2]Rounding'!$O$6=$B25,+'[2]Rounding'!P$6,0)+IF(+'[2]Rounding'!$O$7=$B25,+'[2]Rounding'!P$7,0)</f>
        <v>0</v>
      </c>
      <c r="N25" s="98">
        <f>+E25+H25+K25+IF(+'[2]Rounding'!$O$6=$B25,+'[2]Rounding'!Q$6,0)+IF(+'[2]Rounding'!$O$7=$B25,+'[2]Rounding'!Q$7,0)</f>
        <v>0</v>
      </c>
      <c r="O25" s="147"/>
      <c r="P25" s="147"/>
      <c r="Q25" s="147"/>
    </row>
    <row r="26" spans="1:17" ht="15">
      <c r="A26" s="7" t="s">
        <v>18</v>
      </c>
      <c r="B26" s="8">
        <v>30</v>
      </c>
      <c r="C26" s="76"/>
      <c r="D26" s="99">
        <f>+D24+D25</f>
        <v>3530.55601</v>
      </c>
      <c r="E26" s="100">
        <f>++E24+E25</f>
        <v>2687.58117</v>
      </c>
      <c r="F26" s="76"/>
      <c r="G26" s="99">
        <f>+G24+G25</f>
        <v>0</v>
      </c>
      <c r="H26" s="100">
        <f>++H24+H25</f>
        <v>0</v>
      </c>
      <c r="I26" s="76"/>
      <c r="J26" s="99">
        <f>+J24+J25</f>
        <v>0</v>
      </c>
      <c r="K26" s="100">
        <f>++K24+K25</f>
        <v>0</v>
      </c>
      <c r="L26" s="76"/>
      <c r="M26" s="99">
        <f>+M24+M25</f>
        <v>3530.55601</v>
      </c>
      <c r="N26" s="100">
        <f>++N24+N25</f>
        <v>2687.58117</v>
      </c>
      <c r="O26" s="147"/>
      <c r="P26" s="147"/>
      <c r="Q26" s="147"/>
    </row>
    <row r="27" spans="1:17" ht="15">
      <c r="A27" s="4"/>
      <c r="B27" s="5"/>
      <c r="C27" s="76"/>
      <c r="D27" s="101"/>
      <c r="E27" s="102"/>
      <c r="F27" s="76"/>
      <c r="G27" s="101"/>
      <c r="H27" s="102"/>
      <c r="I27" s="76"/>
      <c r="J27" s="101"/>
      <c r="K27" s="102"/>
      <c r="L27" s="76"/>
      <c r="M27" s="101"/>
      <c r="N27" s="102"/>
      <c r="O27" s="147"/>
      <c r="P27" s="147"/>
      <c r="Q27" s="147"/>
    </row>
    <row r="28" spans="1:17" ht="18" thickBot="1">
      <c r="A28" s="39" t="s">
        <v>19</v>
      </c>
      <c r="B28" s="40">
        <v>100</v>
      </c>
      <c r="C28" s="76"/>
      <c r="D28" s="103">
        <f>++D20+D22+D26</f>
        <v>100741.77334</v>
      </c>
      <c r="E28" s="104">
        <f>++E20+E22+E26</f>
        <v>97829.21294000001</v>
      </c>
      <c r="F28" s="76"/>
      <c r="G28" s="103">
        <f>++G20+G22+G26</f>
        <v>0</v>
      </c>
      <c r="H28" s="104">
        <f>++H20+H22+H26</f>
        <v>0</v>
      </c>
      <c r="I28" s="76"/>
      <c r="J28" s="103">
        <f>++J20+J22+J26</f>
        <v>45671.46052</v>
      </c>
      <c r="K28" s="104">
        <f>++K20+K22+K26</f>
        <v>46281.1668</v>
      </c>
      <c r="L28" s="76"/>
      <c r="M28" s="103">
        <f>++M20+M22+M26</f>
        <v>146413.23386000004</v>
      </c>
      <c r="N28" s="104">
        <f>++N20+N22+N26</f>
        <v>144110.37974</v>
      </c>
      <c r="O28" s="147"/>
      <c r="P28" s="147"/>
      <c r="Q28" s="147"/>
    </row>
    <row r="29" spans="1:17" ht="15">
      <c r="A29" s="2" t="s">
        <v>20</v>
      </c>
      <c r="B29" s="3"/>
      <c r="C29" s="76"/>
      <c r="D29" s="30"/>
      <c r="E29" s="31"/>
      <c r="F29" s="76"/>
      <c r="G29" s="30"/>
      <c r="H29" s="31"/>
      <c r="I29" s="76"/>
      <c r="J29" s="30"/>
      <c r="K29" s="31"/>
      <c r="L29" s="76"/>
      <c r="M29" s="30"/>
      <c r="N29" s="31"/>
      <c r="O29" s="147"/>
      <c r="P29" s="147"/>
      <c r="Q29" s="147"/>
    </row>
    <row r="30" spans="1:17" ht="15">
      <c r="A30" s="4" t="s">
        <v>21</v>
      </c>
      <c r="B30" s="5"/>
      <c r="C30" s="76"/>
      <c r="D30" s="93" t="str">
        <f>+IF(+OR(D31&lt;0,D32&lt;0,D33&lt;0),"НЕРАВНЕНИЕ !"," ")</f>
        <v> </v>
      </c>
      <c r="E30" s="94" t="str">
        <f>+IF(+OR(E31&lt;0,E32&lt;0,E33&lt;0),"НЕРАВНЕНИЕ !"," ")</f>
        <v> </v>
      </c>
      <c r="F30" s="76"/>
      <c r="G30" s="93" t="str">
        <f>+IF(+OR(G31&lt;0,G32&lt;0,G33&lt;0),"НЕРАВНЕНИЕ !"," ")</f>
        <v> </v>
      </c>
      <c r="H30" s="94" t="str">
        <f>+IF(+OR(H31&lt;0,H32&lt;0,H33&lt;0),"НЕРАВНЕНИЕ !"," ")</f>
        <v> </v>
      </c>
      <c r="I30" s="76"/>
      <c r="J30" s="93" t="str">
        <f>+IF(+OR(J31&lt;0,J32&lt;0,J33&lt;0),"НЕРАВНЕНИЕ !"," ")</f>
        <v> </v>
      </c>
      <c r="K30" s="94" t="str">
        <f>+IF(+OR(K31&lt;0,K32&lt;0,K33&lt;0),"НЕРАВНЕНИЕ !"," ")</f>
        <v> </v>
      </c>
      <c r="L30" s="76"/>
      <c r="M30" s="93" t="str">
        <f>+IF(+OR(M31&lt;0,M32&lt;0,M33&lt;0),"НЕРАВНЕНИЕ !"," ")</f>
        <v> </v>
      </c>
      <c r="N30" s="94" t="str">
        <f>+IF(+OR(N31&lt;0,N32&lt;0,N33&lt;0),"НЕРАВНЕНИЕ !"," ")</f>
        <v> </v>
      </c>
      <c r="O30" s="147"/>
      <c r="P30" s="147"/>
      <c r="Q30" s="147"/>
    </row>
    <row r="31" spans="1:17" ht="15">
      <c r="A31" s="21" t="s">
        <v>22</v>
      </c>
      <c r="B31" s="22">
        <v>51</v>
      </c>
      <c r="C31" s="76"/>
      <c r="D31" s="95">
        <f>+'[2]BALANCE-SHEET-2021-leva'!D31/1000+IF(+'[2]Rounding'!$C$6=$B31,+'[2]Rounding'!D$6,0)+IF(+'[2]Rounding'!$C$7=$B31,+'[2]Rounding'!D$7,0)</f>
        <v>0</v>
      </c>
      <c r="E31" s="96">
        <f>+'[2]BALANCE-SHEET-2021-leva'!E31/1000+IF(+'[2]Rounding'!$C$6=$B31,+'[2]Rounding'!E$6,0)+IF(+'[2]Rounding'!$C$7=$B31,+'[2]Rounding'!E$7,0)</f>
        <v>0</v>
      </c>
      <c r="F31" s="76"/>
      <c r="G31" s="95">
        <f>+'[2]BALANCE-SHEET-2021-leva'!G31/1000+IF(+'[2]Rounding'!$G$6=$B31,+'[2]Rounding'!H$6,0)+IF(+'[2]Rounding'!$G$7=$B31,+'[2]Rounding'!H$7,0)</f>
        <v>0</v>
      </c>
      <c r="H31" s="96">
        <f>+'[2]BALANCE-SHEET-2021-leva'!H31/1000+IF(+'[2]Rounding'!$G$6=$B31,+'[2]Rounding'!I$6,0)+IF(+'[2]Rounding'!$G$7=$B31,+'[2]Rounding'!I$7,0)</f>
        <v>0</v>
      </c>
      <c r="I31" s="76"/>
      <c r="J31" s="95">
        <f>+'[2]BALANCE-SHEET-2021-leva'!J31/1000+IF(+'[2]Rounding'!$K$6=$B31,+'[2]Rounding'!L$6,0)+IF(+'[2]Rounding'!$K$7=$B31,+'[2]Rounding'!L$7,0)</f>
        <v>0</v>
      </c>
      <c r="K31" s="96">
        <f>+'[2]BALANCE-SHEET-2021-leva'!K31/1000+IF(+'[2]Rounding'!$K$6=$B31,+'[2]Rounding'!M$6,0)+IF(+'[2]Rounding'!$K$7=$B31,+'[2]Rounding'!M$7,0)</f>
        <v>0</v>
      </c>
      <c r="L31" s="76"/>
      <c r="M31" s="95">
        <f>+D31+G31+J31+IF(+'[2]Rounding'!$O$6=$B31,+'[2]Rounding'!P$6,0)+IF(+'[2]Rounding'!$O$7=$B31,+'[2]Rounding'!P$7,0)</f>
        <v>0</v>
      </c>
      <c r="N31" s="96">
        <f>+E31+H31+K31+IF(+'[2]Rounding'!$O$6=$B31,+'[2]Rounding'!Q$6,0)+IF(+'[2]Rounding'!$O$7=$B31,+'[2]Rounding'!Q$7,0)</f>
        <v>0</v>
      </c>
      <c r="O31" s="147"/>
      <c r="P31" s="147"/>
      <c r="Q31" s="147"/>
    </row>
    <row r="32" spans="1:17" ht="15">
      <c r="A32" s="21" t="s">
        <v>23</v>
      </c>
      <c r="B32" s="22">
        <v>52</v>
      </c>
      <c r="C32" s="76"/>
      <c r="D32" s="95">
        <f>+'[2]BALANCE-SHEET-2021-leva'!D32/1000+IF(+'[2]Rounding'!$C$6=$B32,+'[2]Rounding'!D$6,0)+IF(+'[2]Rounding'!$C$7=$B32,+'[2]Rounding'!D$7,0)</f>
        <v>0</v>
      </c>
      <c r="E32" s="96">
        <f>+'[2]BALANCE-SHEET-2021-leva'!E32/1000+IF(+'[2]Rounding'!$C$6=$B32,+'[2]Rounding'!E$6,0)+IF(+'[2]Rounding'!$C$7=$B32,+'[2]Rounding'!E$7,0)</f>
        <v>0</v>
      </c>
      <c r="F32" s="76"/>
      <c r="G32" s="95">
        <f>+'[2]BALANCE-SHEET-2021-leva'!G32/1000+IF(+'[2]Rounding'!$G$6=$B32,+'[2]Rounding'!H$6,0)+IF(+'[2]Rounding'!$G$7=$B32,+'[2]Rounding'!H$7,0)</f>
        <v>0</v>
      </c>
      <c r="H32" s="96">
        <f>+'[2]BALANCE-SHEET-2021-leva'!H32/1000+IF(+'[2]Rounding'!$G$6=$B32,+'[2]Rounding'!I$6,0)+IF(+'[2]Rounding'!$G$7=$B32,+'[2]Rounding'!I$7,0)</f>
        <v>0</v>
      </c>
      <c r="I32" s="76"/>
      <c r="J32" s="95">
        <f>+'[2]BALANCE-SHEET-2021-leva'!J32/1000+IF(+'[2]Rounding'!$K$6=$B32,+'[2]Rounding'!L$6,0)+IF(+'[2]Rounding'!$K$7=$B32,+'[2]Rounding'!L$7,0)</f>
        <v>0</v>
      </c>
      <c r="K32" s="96">
        <f>+'[2]BALANCE-SHEET-2021-leva'!K32/1000+IF(+'[2]Rounding'!$K$6=$B32,+'[2]Rounding'!M$6,0)+IF(+'[2]Rounding'!$K$7=$B32,+'[2]Rounding'!M$7,0)</f>
        <v>0</v>
      </c>
      <c r="L32" s="76"/>
      <c r="M32" s="95">
        <f>+D32+G32+J32+IF(+'[2]Rounding'!$O$6=$B32,+'[2]Rounding'!P$6,0)+IF(+'[2]Rounding'!$O$7=$B32,+'[2]Rounding'!P$7,0)</f>
        <v>0</v>
      </c>
      <c r="N32" s="96">
        <f>+E32+H32+K32+IF(+'[2]Rounding'!$O$6=$B32,+'[2]Rounding'!Q$6,0)+IF(+'[2]Rounding'!$O$7=$B32,+'[2]Rounding'!Q$7,0)</f>
        <v>0</v>
      </c>
      <c r="O32" s="147"/>
      <c r="P32" s="147"/>
      <c r="Q32" s="147"/>
    </row>
    <row r="33" spans="1:17" ht="15">
      <c r="A33" s="23" t="s">
        <v>24</v>
      </c>
      <c r="B33" s="24">
        <v>53</v>
      </c>
      <c r="C33" s="76"/>
      <c r="D33" s="97">
        <f>+'[2]BALANCE-SHEET-2021-leva'!D33/1000+IF(+'[2]Rounding'!$C$6=$B33,+'[2]Rounding'!D$6,0)+IF(+'[2]Rounding'!$C$7=$B33,+'[2]Rounding'!D$7,0)</f>
        <v>0</v>
      </c>
      <c r="E33" s="98">
        <f>+'[2]BALANCE-SHEET-2021-leva'!E33/1000+IF(+'[2]Rounding'!$C$6=$B33,+'[2]Rounding'!E$6,0)+IF(+'[2]Rounding'!$C$7=$B33,+'[2]Rounding'!E$7,0)</f>
        <v>0</v>
      </c>
      <c r="F33" s="76"/>
      <c r="G33" s="97">
        <f>+'[2]BALANCE-SHEET-2021-leva'!G33/1000+IF(+'[2]Rounding'!$G$6=$B33,+'[2]Rounding'!H$6,0)+IF(+'[2]Rounding'!$G$7=$B33,+'[2]Rounding'!H$7,0)</f>
        <v>0</v>
      </c>
      <c r="H33" s="98">
        <f>+'[2]BALANCE-SHEET-2021-leva'!H33/1000+IF(+'[2]Rounding'!$G$6=$B33,+'[2]Rounding'!I$6,0)+IF(+'[2]Rounding'!$G$7=$B33,+'[2]Rounding'!I$7,0)</f>
        <v>0</v>
      </c>
      <c r="I33" s="76"/>
      <c r="J33" s="97">
        <f>+'[2]BALANCE-SHEET-2021-leva'!J33/1000+IF(+'[2]Rounding'!$K$6=$B33,+'[2]Rounding'!L$6,0)+IF(+'[2]Rounding'!$K$7=$B33,+'[2]Rounding'!L$7,0)</f>
        <v>0</v>
      </c>
      <c r="K33" s="98">
        <f>+'[2]BALANCE-SHEET-2021-leva'!K33/1000+IF(+'[2]Rounding'!$K$6=$B33,+'[2]Rounding'!M$6,0)+IF(+'[2]Rounding'!$K$7=$B33,+'[2]Rounding'!M$7,0)</f>
        <v>0</v>
      </c>
      <c r="L33" s="76"/>
      <c r="M33" s="97">
        <f>+D33+G33+J33+IF(+'[2]Rounding'!$O$6=$B33,+'[2]Rounding'!P$6,0)+IF(+'[2]Rounding'!$O$7=$B33,+'[2]Rounding'!P$7,0)</f>
        <v>0</v>
      </c>
      <c r="N33" s="98">
        <f>+E33+H33+K33+IF(+'[2]Rounding'!$O$6=$B33,+'[2]Rounding'!Q$6,0)+IF(+'[2]Rounding'!$O$7=$B33,+'[2]Rounding'!Q$7,0)</f>
        <v>0</v>
      </c>
      <c r="O33" s="147"/>
      <c r="P33" s="147"/>
      <c r="Q33" s="147"/>
    </row>
    <row r="34" spans="1:17" ht="15">
      <c r="A34" s="7" t="s">
        <v>13</v>
      </c>
      <c r="B34" s="8">
        <v>50</v>
      </c>
      <c r="C34" s="76"/>
      <c r="D34" s="99">
        <f>+D31+D32+D33</f>
        <v>0</v>
      </c>
      <c r="E34" s="100">
        <f>+E31+E32+E33</f>
        <v>0</v>
      </c>
      <c r="F34" s="76"/>
      <c r="G34" s="99">
        <f>+G31+G32+G33</f>
        <v>0</v>
      </c>
      <c r="H34" s="100">
        <f>+H31+H32+H33</f>
        <v>0</v>
      </c>
      <c r="I34" s="76"/>
      <c r="J34" s="99">
        <f>+J31+J32+J33</f>
        <v>0</v>
      </c>
      <c r="K34" s="100">
        <f>+K31+K32+K33</f>
        <v>0</v>
      </c>
      <c r="L34" s="76"/>
      <c r="M34" s="99">
        <f>+M31+M32+M33</f>
        <v>0</v>
      </c>
      <c r="N34" s="100">
        <f>+N31+N32+N33</f>
        <v>0</v>
      </c>
      <c r="O34" s="147"/>
      <c r="P34" s="166"/>
      <c r="Q34" s="167" t="s">
        <v>101</v>
      </c>
    </row>
    <row r="35" spans="1:17" ht="15.75">
      <c r="A35" s="4" t="s">
        <v>25</v>
      </c>
      <c r="B35" s="5"/>
      <c r="C35" s="76"/>
      <c r="D35" s="93" t="str">
        <f>+IF(+OR(D36&lt;0,D37&lt;0),"НЕРАВНЕНИЕ !"," ")</f>
        <v> </v>
      </c>
      <c r="E35" s="94" t="str">
        <f>+IF(+OR(E36&lt;0,E37&lt;0),"НЕРАВНЕНИЕ !"," ")</f>
        <v> </v>
      </c>
      <c r="F35" s="76"/>
      <c r="G35" s="93" t="str">
        <f>+IF(+OR(G36&lt;0,G37&lt;0),"НЕРАВНЕНИЕ !"," ")</f>
        <v> </v>
      </c>
      <c r="H35" s="94" t="str">
        <f>+IF(+OR(H36&lt;0,H37&lt;0),"НЕРАВНЕНИЕ !"," ")</f>
        <v> </v>
      </c>
      <c r="I35" s="76"/>
      <c r="J35" s="93" t="str">
        <f>+IF(+OR(J36&lt;0,J37&lt;0),"НЕРАВНЕНИЕ !"," ")</f>
        <v> </v>
      </c>
      <c r="K35" s="94" t="str">
        <f>+IF(+OR(K36&lt;0,K37&lt;0),"НЕРАВНЕНИЕ !"," ")</f>
        <v> </v>
      </c>
      <c r="L35" s="76"/>
      <c r="M35" s="93" t="str">
        <f>+IF(+OR(M36&lt;0,M37&lt;0),"НЕРАВНЕНИЕ !"," ")</f>
        <v> </v>
      </c>
      <c r="N35" s="94" t="str">
        <f>+IF(+OR(N36&lt;0,N37&lt;0),"НЕРАВНЕНИЕ !"," ")</f>
        <v> </v>
      </c>
      <c r="O35" s="147"/>
      <c r="P35" s="168" t="s">
        <v>102</v>
      </c>
      <c r="Q35" s="169" t="str">
        <f>+'[1]BALANCE-SHEET-2021-leva'!Q35</f>
        <v>'Intra-Balances' </v>
      </c>
    </row>
    <row r="36" spans="1:17" ht="15.75">
      <c r="A36" s="21" t="s">
        <v>26</v>
      </c>
      <c r="B36" s="22">
        <v>61</v>
      </c>
      <c r="C36" s="76"/>
      <c r="D36" s="95">
        <f>+'[2]BALANCE-SHEET-2021-leva'!D36/1000+IF(+'[2]Rounding'!$C$6=$B36,+'[2]Rounding'!D$6,0)+IF(+'[2]Rounding'!$C$7=$B36,+'[2]Rounding'!D$7,0)</f>
        <v>0</v>
      </c>
      <c r="E36" s="96">
        <f>+'[2]BALANCE-SHEET-2021-leva'!E36/1000+IF(+'[2]Rounding'!$C$6=$B36,+'[2]Rounding'!E$6,0)+IF(+'[2]Rounding'!$C$7=$B36,+'[2]Rounding'!E$7,0)</f>
        <v>0</v>
      </c>
      <c r="F36" s="76"/>
      <c r="G36" s="95">
        <f>+'[2]BALANCE-SHEET-2021-leva'!G36/1000+IF(+'[2]Rounding'!$G$6=$B36,+'[2]Rounding'!H$6,0)+IF(+'[2]Rounding'!$G$7=$B36,+'[2]Rounding'!H$7,0)</f>
        <v>0</v>
      </c>
      <c r="H36" s="96">
        <f>+'[2]BALANCE-SHEET-2021-leva'!H36/1000+IF(+'[2]Rounding'!$G$6=$B36,+'[2]Rounding'!I$6,0)+IF(+'[2]Rounding'!$G$7=$B36,+'[2]Rounding'!I$7,0)</f>
        <v>0</v>
      </c>
      <c r="I36" s="76"/>
      <c r="J36" s="95">
        <f>+'[2]BALANCE-SHEET-2021-leva'!J36/1000+IF(+'[2]Rounding'!$K$6=$B36,+'[2]Rounding'!L$6,0)+IF(+'[2]Rounding'!$K$7=$B36,+'[2]Rounding'!L$7,0)</f>
        <v>0</v>
      </c>
      <c r="K36" s="96">
        <f>+'[2]BALANCE-SHEET-2021-leva'!K36/1000+IF(+'[2]Rounding'!$K$6=$B36,+'[2]Rounding'!M$6,0)+IF(+'[2]Rounding'!$K$7=$B36,+'[2]Rounding'!M$7,0)</f>
        <v>0</v>
      </c>
      <c r="L36" s="76"/>
      <c r="M36" s="95">
        <f>+D36+G36+J36+IF(+'[2]Rounding'!$O$6=$B36,+'[2]Rounding'!P$6,0)+IF(+'[2]Rounding'!$O$7=$B36,+'[2]Rounding'!P$7,0)</f>
        <v>0</v>
      </c>
      <c r="N36" s="96">
        <f>+E36+H36+K36+IF(+'[2]Rounding'!$O$6=$B36,+'[2]Rounding'!Q$6,0)+IF(+'[2]Rounding'!$O$7=$B36,+'[2]Rounding'!Q$7,0)</f>
        <v>0</v>
      </c>
      <c r="O36" s="147"/>
      <c r="P36" s="170" t="s">
        <v>103</v>
      </c>
      <c r="Q36" s="171" t="str">
        <f>+'[1]BALANCE-SHEET-2021-leva'!Q36</f>
        <v>'Municipal-Bal'</v>
      </c>
    </row>
    <row r="37" spans="1:17" ht="15">
      <c r="A37" s="23" t="s">
        <v>27</v>
      </c>
      <c r="B37" s="24">
        <v>62</v>
      </c>
      <c r="C37" s="76"/>
      <c r="D37" s="97">
        <f>+'[2]BALANCE-SHEET-2021-leva'!D37/1000+IF(+'[2]Rounding'!$C$6=$B37,+'[2]Rounding'!D$6,0)+IF(+'[2]Rounding'!$C$7=$B37,+'[2]Rounding'!D$7,0)</f>
        <v>0</v>
      </c>
      <c r="E37" s="98">
        <f>+'[2]BALANCE-SHEET-2021-leva'!E37/1000+IF(+'[2]Rounding'!$C$6=$B37,+'[2]Rounding'!E$6,0)+IF(+'[2]Rounding'!$C$7=$B37,+'[2]Rounding'!E$7,0)</f>
        <v>0</v>
      </c>
      <c r="F37" s="76"/>
      <c r="G37" s="97">
        <f>+'[2]BALANCE-SHEET-2021-leva'!G37/1000+IF(+'[2]Rounding'!$G$6=$B37,+'[2]Rounding'!H$6,0)+IF(+'[2]Rounding'!$G$7=$B37,+'[2]Rounding'!H$7,0)</f>
        <v>0</v>
      </c>
      <c r="H37" s="98">
        <f>+'[2]BALANCE-SHEET-2021-leva'!H37/1000+IF(+'[2]Rounding'!$G$6=$B37,+'[2]Rounding'!I$6,0)+IF(+'[2]Rounding'!$G$7=$B37,+'[2]Rounding'!I$7,0)</f>
        <v>0</v>
      </c>
      <c r="I37" s="76"/>
      <c r="J37" s="97">
        <f>+'[2]BALANCE-SHEET-2021-leva'!J37/1000+IF(+'[2]Rounding'!$K$6=$B37,+'[2]Rounding'!L$6,0)+IF(+'[2]Rounding'!$K$7=$B37,+'[2]Rounding'!L$7,0)</f>
        <v>0</v>
      </c>
      <c r="K37" s="98">
        <f>+'[2]BALANCE-SHEET-2021-leva'!K37/1000+IF(+'[2]Rounding'!$K$6=$B37,+'[2]Rounding'!M$6,0)+IF(+'[2]Rounding'!$K$7=$B37,+'[2]Rounding'!M$7,0)</f>
        <v>0</v>
      </c>
      <c r="L37" s="76"/>
      <c r="M37" s="97">
        <f>+D37+G37+J37+IF(+'[2]Rounding'!$O$6=$B37,+'[2]Rounding'!P$6,0)+IF(+'[2]Rounding'!$O$7=$B37,+'[2]Rounding'!P$7,0)</f>
        <v>0</v>
      </c>
      <c r="N37" s="98">
        <f>+E37+H37+K37+IF(+'[2]Rounding'!$O$6=$B37,+'[2]Rounding'!Q$6,0)+IF(+'[2]Rounding'!$O$7=$B37,+'[2]Rounding'!Q$7,0)</f>
        <v>0</v>
      </c>
      <c r="O37" s="147"/>
      <c r="P37" s="172" t="s">
        <v>104</v>
      </c>
      <c r="Q37" s="173" t="s">
        <v>105</v>
      </c>
    </row>
    <row r="38" spans="1:17" ht="15">
      <c r="A38" s="7" t="s">
        <v>28</v>
      </c>
      <c r="B38" s="8">
        <v>60</v>
      </c>
      <c r="C38" s="76"/>
      <c r="D38" s="99">
        <f>+D36+D37</f>
        <v>0</v>
      </c>
      <c r="E38" s="100">
        <f>+E36+E37</f>
        <v>0</v>
      </c>
      <c r="F38" s="76"/>
      <c r="G38" s="99">
        <f>+G36+G37</f>
        <v>0</v>
      </c>
      <c r="H38" s="100">
        <f>+H36+H37</f>
        <v>0</v>
      </c>
      <c r="I38" s="76"/>
      <c r="J38" s="99">
        <f>+J36+J37</f>
        <v>0</v>
      </c>
      <c r="K38" s="100">
        <f>+K36+K37</f>
        <v>0</v>
      </c>
      <c r="L38" s="76"/>
      <c r="M38" s="99">
        <f>+M36+M37</f>
        <v>0</v>
      </c>
      <c r="N38" s="100">
        <f>+N36+N37</f>
        <v>0</v>
      </c>
      <c r="O38" s="147"/>
      <c r="P38" s="174" t="s">
        <v>106</v>
      </c>
      <c r="Q38" s="175" t="s">
        <v>107</v>
      </c>
    </row>
    <row r="39" spans="1:17" ht="15">
      <c r="A39" s="4" t="s">
        <v>29</v>
      </c>
      <c r="B39" s="5"/>
      <c r="C39" s="76"/>
      <c r="D39" s="93" t="str">
        <f>+IF(+OR(D40&lt;0,D41&lt;0,D42&lt;0,D43&lt;0,D44&lt;0,D45&lt;0),"НЕРАВНЕНИЕ !"," ")</f>
        <v> </v>
      </c>
      <c r="E39" s="94" t="str">
        <f>+IF(+OR(E40&lt;0,E41&lt;0,E42&lt;0,E43&lt;0,E44&lt;0,E45&lt;0),"НЕРАВНЕНИЕ !"," ")</f>
        <v> </v>
      </c>
      <c r="F39" s="76"/>
      <c r="G39" s="93" t="str">
        <f>+IF(+OR(G40&lt;0,G41&lt;0,G42&lt;0,G43&lt;0,G44&lt;0,G45&lt;0),"НЕРАВНЕНИЕ !"," ")</f>
        <v> </v>
      </c>
      <c r="H39" s="94" t="str">
        <f>+IF(+OR(H40&lt;0,H41&lt;0,H42&lt;0,H43&lt;0,H44&lt;0,H45&lt;0),"НЕРАВНЕНИЕ !"," ")</f>
        <v> </v>
      </c>
      <c r="I39" s="76"/>
      <c r="J39" s="93" t="str">
        <f>+IF(+OR(J40&lt;0,J41&lt;0,J42&lt;0,J43&lt;0,J44&lt;0,J45&lt;0),"НЕРАВНЕНИЕ !"," ")</f>
        <v> </v>
      </c>
      <c r="K39" s="94" t="str">
        <f>+IF(+OR(K40&lt;0,K41&lt;0,K42&lt;0,K43&lt;0,K44&lt;0,K45&lt;0),"НЕРАВНЕНИЕ !"," ")</f>
        <v> </v>
      </c>
      <c r="L39" s="76"/>
      <c r="M39" s="93" t="str">
        <f>+IF(+OR(M40&lt;0,M41&lt;0,M42&lt;0,M43&lt;0,M44&lt;0,M45&lt;0),"НЕРАВНЕНИЕ !"," ")</f>
        <v> </v>
      </c>
      <c r="N39" s="94" t="str">
        <f>+IF(+OR(N40&lt;0,N41&lt;0,N42&lt;0,N43&lt;0,N44&lt;0,N45&lt;0),"НЕРАВНЕНИЕ !"," ")</f>
        <v> </v>
      </c>
      <c r="O39" s="147"/>
      <c r="P39" s="176"/>
      <c r="Q39" s="176"/>
    </row>
    <row r="40" spans="1:17" ht="15">
      <c r="A40" s="6" t="s">
        <v>30</v>
      </c>
      <c r="B40" s="105">
        <v>71</v>
      </c>
      <c r="C40" s="76"/>
      <c r="D40" s="95">
        <f>+'[2]BALANCE-SHEET-2021-leva'!D40/1000+IF(+'[2]Rounding'!$C$6=$B40,+'[2]Rounding'!D$6,0)+IF(+'[2]Rounding'!$C$7=$B40,+'[2]Rounding'!D$7,0)</f>
        <v>0</v>
      </c>
      <c r="E40" s="96">
        <f>+'[2]BALANCE-SHEET-2021-leva'!E40/1000+IF(+'[2]Rounding'!$C$6=$B40,+'[2]Rounding'!E$6,0)+IF(+'[2]Rounding'!$C$7=$B40,+'[2]Rounding'!E$7,0)</f>
        <v>0</v>
      </c>
      <c r="F40" s="76"/>
      <c r="G40" s="95">
        <f>+'[2]BALANCE-SHEET-2021-leva'!G40/1000+IF(+'[2]Rounding'!$G$6=$B40,+'[2]Rounding'!H$6,0)+IF(+'[2]Rounding'!$G$7=$B40,+'[2]Rounding'!H$7,0)</f>
        <v>0</v>
      </c>
      <c r="H40" s="96">
        <f>+'[2]BALANCE-SHEET-2021-leva'!H40/1000+IF(+'[2]Rounding'!$G$6=$B40,+'[2]Rounding'!I$6,0)+IF(+'[2]Rounding'!$G$7=$B40,+'[2]Rounding'!I$7,0)</f>
        <v>0</v>
      </c>
      <c r="I40" s="76"/>
      <c r="J40" s="95">
        <f>+'[2]BALANCE-SHEET-2021-leva'!J40/1000+IF(+'[2]Rounding'!$K$6=$B40,+'[2]Rounding'!L$6,0)+IF(+'[2]Rounding'!$K$7=$B40,+'[2]Rounding'!L$7,0)</f>
        <v>0</v>
      </c>
      <c r="K40" s="96">
        <f>+'[2]BALANCE-SHEET-2021-leva'!K40/1000+IF(+'[2]Rounding'!$K$6=$B40,+'[2]Rounding'!M$6,0)+IF(+'[2]Rounding'!$K$7=$B40,+'[2]Rounding'!M$7,0)</f>
        <v>0</v>
      </c>
      <c r="L40" s="76"/>
      <c r="M40" s="95">
        <f>+D40+G40+J40+IF(+'[2]Rounding'!$O$6=$B40,+'[2]Rounding'!P$6,0)+IF(+'[2]Rounding'!$O$7=$B40,+'[2]Rounding'!P$7,0)-P40</f>
        <v>0</v>
      </c>
      <c r="N40" s="96">
        <f>+E40+H40+K40+IF(+'[2]Rounding'!$O$6=$B40,+'[2]Rounding'!Q$6,0)+IF(+'[2]Rounding'!$O$7=$B40,+'[2]Rounding'!Q$7,0)-Q40</f>
        <v>0</v>
      </c>
      <c r="O40" s="147"/>
      <c r="P40" s="177">
        <f>+'[1]BALANCE-SHEET-2021-leva'!P40/1000</f>
        <v>0</v>
      </c>
      <c r="Q40" s="178">
        <f>+'[1]BALANCE-SHEET-2021-leva'!Q40/1000</f>
        <v>0</v>
      </c>
    </row>
    <row r="41" spans="1:17" ht="15">
      <c r="A41" s="6" t="s">
        <v>31</v>
      </c>
      <c r="B41" s="105">
        <v>72</v>
      </c>
      <c r="C41" s="76"/>
      <c r="D41" s="95">
        <f>+'[2]BALANCE-SHEET-2021-leva'!D41/1000+IF(+'[2]Rounding'!$C$6=$B41,+'[2]Rounding'!D$6,0)+IF(+'[2]Rounding'!$C$7=$B41,+'[2]Rounding'!D$7,0)</f>
        <v>40.943839999999994</v>
      </c>
      <c r="E41" s="96">
        <f>+'[2]BALANCE-SHEET-2021-leva'!E41/1000+IF(+'[2]Rounding'!$C$6=$B41,+'[2]Rounding'!E$6,0)+IF(+'[2]Rounding'!$C$7=$B41,+'[2]Rounding'!E$7,0)</f>
        <v>30.066689999999998</v>
      </c>
      <c r="F41" s="76"/>
      <c r="G41" s="95">
        <f>+'[2]BALANCE-SHEET-2021-leva'!G41/1000+IF(+'[2]Rounding'!$G$6=$B41,+'[2]Rounding'!H$6,0)+IF(+'[2]Rounding'!$G$7=$B41,+'[2]Rounding'!H$7,0)</f>
        <v>0</v>
      </c>
      <c r="H41" s="96">
        <f>+'[2]BALANCE-SHEET-2021-leva'!H41/1000+IF(+'[2]Rounding'!$G$6=$B41,+'[2]Rounding'!I$6,0)+IF(+'[2]Rounding'!$G$7=$B41,+'[2]Rounding'!I$7,0)</f>
        <v>0</v>
      </c>
      <c r="I41" s="76"/>
      <c r="J41" s="95">
        <f>+'[2]BALANCE-SHEET-2021-leva'!J41/1000+IF(+'[2]Rounding'!$K$6=$B41,+'[2]Rounding'!L$6,0)+IF(+'[2]Rounding'!$K$7=$B41,+'[2]Rounding'!L$7,0)</f>
        <v>0</v>
      </c>
      <c r="K41" s="96">
        <f>+'[2]BALANCE-SHEET-2021-leva'!K41/1000+IF(+'[2]Rounding'!$K$6=$B41,+'[2]Rounding'!M$6,0)+IF(+'[2]Rounding'!$K$7=$B41,+'[2]Rounding'!M$7,0)</f>
        <v>0</v>
      </c>
      <c r="L41" s="76"/>
      <c r="M41" s="95">
        <f>+D41+G41+J41+IF(+'[2]Rounding'!$O$6=$B41,+'[2]Rounding'!P$6,0)+IF(+'[2]Rounding'!$O$7=$B41,+'[2]Rounding'!P$7,0)</f>
        <v>40.943839999999994</v>
      </c>
      <c r="N41" s="96">
        <f>+E41+H41+K41+IF(+'[2]Rounding'!$O$6=$B41,+'[2]Rounding'!Q$6,0)+IF(+'[2]Rounding'!$O$7=$B41,+'[2]Rounding'!Q$7,0)</f>
        <v>30.066689999999998</v>
      </c>
      <c r="O41" s="147"/>
      <c r="P41" s="179"/>
      <c r="Q41" s="179"/>
    </row>
    <row r="42" spans="1:17" ht="15">
      <c r="A42" s="6" t="s">
        <v>32</v>
      </c>
      <c r="B42" s="105">
        <v>73</v>
      </c>
      <c r="C42" s="76"/>
      <c r="D42" s="95">
        <f>+'[2]BALANCE-SHEET-2021-leva'!D42/1000+IF(+'[2]Rounding'!$C$6=$B42,+'[2]Rounding'!D$6,0)+IF(+'[2]Rounding'!$C$7=$B42,+'[2]Rounding'!D$7,0)</f>
        <v>1501.0648600000002</v>
      </c>
      <c r="E42" s="96">
        <f>+'[2]BALANCE-SHEET-2021-leva'!E42/1000+IF(+'[2]Rounding'!$C$6=$B42,+'[2]Rounding'!E$6,0)+IF(+'[2]Rounding'!$C$7=$B42,+'[2]Rounding'!E$7,0)</f>
        <v>51.08354</v>
      </c>
      <c r="F42" s="76"/>
      <c r="G42" s="95">
        <f>+'[2]BALANCE-SHEET-2021-leva'!G42/1000+IF(+'[2]Rounding'!$G$6=$B42,+'[2]Rounding'!H$6,0)+IF(+'[2]Rounding'!$G$7=$B42,+'[2]Rounding'!H$7,0)</f>
        <v>14.976</v>
      </c>
      <c r="H42" s="96">
        <f>+'[2]BALANCE-SHEET-2021-leva'!H42/1000+IF(+'[2]Rounding'!$G$6=$B42,+'[2]Rounding'!I$6,0)+IF(+'[2]Rounding'!$G$7=$B42,+'[2]Rounding'!I$7,0)</f>
        <v>0</v>
      </c>
      <c r="I42" s="76"/>
      <c r="J42" s="95">
        <f>+'[2]BALANCE-SHEET-2021-leva'!J42/1000+IF(+'[2]Rounding'!$K$6=$B42,+'[2]Rounding'!L$6,0)+IF(+'[2]Rounding'!$K$7=$B42,+'[2]Rounding'!L$7,0)</f>
        <v>0</v>
      </c>
      <c r="K42" s="96">
        <f>+'[2]BALANCE-SHEET-2021-leva'!K42/1000+IF(+'[2]Rounding'!$K$6=$B42,+'[2]Rounding'!M$6,0)+IF(+'[2]Rounding'!$K$7=$B42,+'[2]Rounding'!M$7,0)</f>
        <v>0</v>
      </c>
      <c r="L42" s="76"/>
      <c r="M42" s="95">
        <f>+D42+G42+J42+IF(+'[2]Rounding'!$O$6=$B42,+'[2]Rounding'!P$6,0)+IF(+'[2]Rounding'!$O$7=$B42,+'[2]Rounding'!P$7,0)</f>
        <v>1516.0408600000003</v>
      </c>
      <c r="N42" s="96">
        <f>+E42+H42+K42+IF(+'[2]Rounding'!$O$6=$B42,+'[2]Rounding'!Q$6,0)+IF(+'[2]Rounding'!$O$7=$B42,+'[2]Rounding'!Q$7,0)</f>
        <v>51.08354</v>
      </c>
      <c r="O42" s="147"/>
      <c r="P42" s="179"/>
      <c r="Q42" s="179"/>
    </row>
    <row r="43" spans="1:17" ht="15">
      <c r="A43" s="6" t="s">
        <v>33</v>
      </c>
      <c r="B43" s="105">
        <v>74</v>
      </c>
      <c r="C43" s="76"/>
      <c r="D43" s="95">
        <f>+'[2]BALANCE-SHEET-2021-leva'!D43/1000+IF(+'[2]Rounding'!$C$6=$B43,+'[2]Rounding'!D$6,0)+IF(+'[2]Rounding'!$C$7=$B43,+'[2]Rounding'!D$7,0)</f>
        <v>0</v>
      </c>
      <c r="E43" s="96">
        <f>+'[2]BALANCE-SHEET-2021-leva'!E43/1000+IF(+'[2]Rounding'!$C$6=$B43,+'[2]Rounding'!E$6,0)+IF(+'[2]Rounding'!$C$7=$B43,+'[2]Rounding'!E$7,0)</f>
        <v>0</v>
      </c>
      <c r="F43" s="76"/>
      <c r="G43" s="95">
        <f>+'[2]BALANCE-SHEET-2021-leva'!G43/1000+IF(+'[2]Rounding'!$G$6=$B43,+'[2]Rounding'!H$6,0)+IF(+'[2]Rounding'!$G$7=$B43,+'[2]Rounding'!H$7,0)</f>
        <v>0</v>
      </c>
      <c r="H43" s="96">
        <f>+'[2]BALANCE-SHEET-2021-leva'!H43/1000+IF(+'[2]Rounding'!$G$6=$B43,+'[2]Rounding'!I$6,0)+IF(+'[2]Rounding'!$G$7=$B43,+'[2]Rounding'!I$7,0)</f>
        <v>0</v>
      </c>
      <c r="I43" s="76"/>
      <c r="J43" s="95">
        <f>+'[2]BALANCE-SHEET-2021-leva'!J43/1000+IF(+'[2]Rounding'!$K$6=$B43,+'[2]Rounding'!L$6,0)+IF(+'[2]Rounding'!$K$7=$B43,+'[2]Rounding'!L$7,0)</f>
        <v>0</v>
      </c>
      <c r="K43" s="96">
        <f>+'[2]BALANCE-SHEET-2021-leva'!K43/1000+IF(+'[2]Rounding'!$K$6=$B43,+'[2]Rounding'!M$6,0)+IF(+'[2]Rounding'!$K$7=$B43,+'[2]Rounding'!M$7,0)</f>
        <v>0</v>
      </c>
      <c r="L43" s="76"/>
      <c r="M43" s="95">
        <f>+D43+G43+J43+IF(+'[2]Rounding'!$O$6=$B43,+'[2]Rounding'!P$6,0)+IF(+'[2]Rounding'!$O$7=$B43,+'[2]Rounding'!P$7,0)</f>
        <v>0</v>
      </c>
      <c r="N43" s="96">
        <f>+E43+H43+K43+IF(+'[2]Rounding'!$O$6=$B43,+'[2]Rounding'!Q$6,0)+IF(+'[2]Rounding'!$O$7=$B43,+'[2]Rounding'!Q$7,0)</f>
        <v>0</v>
      </c>
      <c r="O43" s="147"/>
      <c r="P43" s="179"/>
      <c r="Q43" s="179"/>
    </row>
    <row r="44" spans="1:17" ht="15">
      <c r="A44" s="42" t="s">
        <v>84</v>
      </c>
      <c r="B44" s="105">
        <v>75</v>
      </c>
      <c r="C44" s="76"/>
      <c r="D44" s="95">
        <f>+'[2]BALANCE-SHEET-2021-leva'!D44/1000+IF(+'[2]Rounding'!$C$6=$B44,+'[2]Rounding'!D$6,0)+IF(+'[2]Rounding'!$C$7=$B44,+'[2]Rounding'!D$7,0)</f>
        <v>0</v>
      </c>
      <c r="E44" s="96">
        <f>+'[2]BALANCE-SHEET-2021-leva'!E44/1000+IF(+'[2]Rounding'!$C$6=$B44,+'[2]Rounding'!E$6,0)+IF(+'[2]Rounding'!$C$7=$B44,+'[2]Rounding'!E$7,0)</f>
        <v>0</v>
      </c>
      <c r="F44" s="76"/>
      <c r="G44" s="95">
        <f>+'[2]BALANCE-SHEET-2021-leva'!G44/1000+IF(+'[2]Rounding'!$G$6=$B44,+'[2]Rounding'!H$6,0)+IF(+'[2]Rounding'!$G$7=$B44,+'[2]Rounding'!H$7,0)</f>
        <v>0</v>
      </c>
      <c r="H44" s="96">
        <f>+'[2]BALANCE-SHEET-2021-leva'!H44/1000+IF(+'[2]Rounding'!$G$6=$B44,+'[2]Rounding'!I$6,0)+IF(+'[2]Rounding'!$G$7=$B44,+'[2]Rounding'!I$7,0)</f>
        <v>0</v>
      </c>
      <c r="I44" s="76"/>
      <c r="J44" s="95">
        <f>+'[2]BALANCE-SHEET-2021-leva'!J44/1000+IF(+'[2]Rounding'!$K$6=$B44,+'[2]Rounding'!L$6,0)+IF(+'[2]Rounding'!$K$7=$B44,+'[2]Rounding'!L$7,0)</f>
        <v>0</v>
      </c>
      <c r="K44" s="96">
        <f>+'[2]BALANCE-SHEET-2021-leva'!K44/1000+IF(+'[2]Rounding'!$K$6=$B44,+'[2]Rounding'!M$6,0)+IF(+'[2]Rounding'!$K$7=$B44,+'[2]Rounding'!M$7,0)</f>
        <v>0</v>
      </c>
      <c r="L44" s="76"/>
      <c r="M44" s="95">
        <f>+D44+G44+J44+IF(+'[2]Rounding'!$O$6=$B44,+'[2]Rounding'!P$6,0)+IF(+'[2]Rounding'!$O$7=$B44,+'[2]Rounding'!P$7,0)-P44</f>
        <v>0</v>
      </c>
      <c r="N44" s="96">
        <f>+E44+H44+K44+IF(+'[2]Rounding'!$O$6=$B44,+'[2]Rounding'!Q$6,0)+IF(+'[2]Rounding'!$O$7=$B44,+'[2]Rounding'!Q$7,0)-Q44</f>
        <v>0</v>
      </c>
      <c r="O44" s="147"/>
      <c r="P44" s="177">
        <f>+'[1]BALANCE-SHEET-2021-leva'!P44/1000</f>
        <v>0</v>
      </c>
      <c r="Q44" s="178">
        <f>+'[1]BALANCE-SHEET-2021-leva'!Q44/1000</f>
        <v>0</v>
      </c>
    </row>
    <row r="45" spans="1:17" ht="15">
      <c r="A45" s="6" t="s">
        <v>34</v>
      </c>
      <c r="B45" s="105">
        <v>76</v>
      </c>
      <c r="C45" s="76"/>
      <c r="D45" s="97">
        <f>+'[2]BALANCE-SHEET-2021-leva'!D45/1000+IF(+'[2]Rounding'!$C$6=$B45,+'[2]Rounding'!D$6,0)+IF(+'[2]Rounding'!$C$7=$B45,+'[2]Rounding'!D$7,0)</f>
        <v>566.19077</v>
      </c>
      <c r="E45" s="98">
        <f>+'[2]BALANCE-SHEET-2021-leva'!E45/1000+IF(+'[2]Rounding'!$C$6=$B45,+'[2]Rounding'!E$6,0)+IF(+'[2]Rounding'!$C$7=$B45,+'[2]Rounding'!E$7,0)</f>
        <v>347.22098</v>
      </c>
      <c r="F45" s="76"/>
      <c r="G45" s="97">
        <f>+'[2]BALANCE-SHEET-2021-leva'!G45/1000+IF(+'[2]Rounding'!$G$6=$B45,+'[2]Rounding'!H$6,0)+IF(+'[2]Rounding'!$G$7=$B45,+'[2]Rounding'!H$7,0)</f>
        <v>1174.6049699999999</v>
      </c>
      <c r="H45" s="98">
        <f>+'[2]BALANCE-SHEET-2021-leva'!H45/1000+IF(+'[2]Rounding'!$G$6=$B45,+'[2]Rounding'!I$6,0)+IF(+'[2]Rounding'!$G$7=$B45,+'[2]Rounding'!I$7,0)</f>
        <v>772.3351899999999</v>
      </c>
      <c r="I45" s="76"/>
      <c r="J45" s="97">
        <f>+'[2]BALANCE-SHEET-2021-leva'!J45/1000+IF(+'[2]Rounding'!$K$6=$B45,+'[2]Rounding'!L$6,0)+IF(+'[2]Rounding'!$K$7=$B45,+'[2]Rounding'!L$7,0)</f>
        <v>0</v>
      </c>
      <c r="K45" s="98">
        <f>+'[2]BALANCE-SHEET-2021-leva'!K45/1000+IF(+'[2]Rounding'!$K$6=$B45,+'[2]Rounding'!M$6,0)+IF(+'[2]Rounding'!$K$7=$B45,+'[2]Rounding'!M$7,0)</f>
        <v>0</v>
      </c>
      <c r="L45" s="76"/>
      <c r="M45" s="97">
        <f>+D45+G45+J45+IF(+'[2]Rounding'!$O$6=$B45,+'[2]Rounding'!P$6,0)+IF(+'[2]Rounding'!$O$7=$B45,+'[2]Rounding'!P$7,0)-P45</f>
        <v>651.4007200000001</v>
      </c>
      <c r="N45" s="98">
        <f>+E45+H45+K45+IF(+'[2]Rounding'!$O$6=$B45,+'[2]Rounding'!Q$6,0)+IF(+'[2]Rounding'!$O$7=$B45,+'[2]Rounding'!Q$7,0)-Q45</f>
        <v>347.22471999999993</v>
      </c>
      <c r="O45" s="147"/>
      <c r="P45" s="180">
        <f>+'[1]BALANCE-SHEET-2021-leva'!P45/1000</f>
        <v>1089.39502</v>
      </c>
      <c r="Q45" s="181">
        <f>+'[1]BALANCE-SHEET-2021-leva'!Q45/1000</f>
        <v>772.3314499999999</v>
      </c>
    </row>
    <row r="46" spans="1:17" ht="15">
      <c r="A46" s="7" t="s">
        <v>18</v>
      </c>
      <c r="B46" s="8">
        <v>70</v>
      </c>
      <c r="C46" s="76"/>
      <c r="D46" s="99">
        <f>+D40+D41+D42+D43+D44+D45</f>
        <v>2108.19947</v>
      </c>
      <c r="E46" s="100">
        <f>+E40+E41+E42+E43+E44+E45</f>
        <v>428.37121</v>
      </c>
      <c r="F46" s="76"/>
      <c r="G46" s="99">
        <f>+G40+G41+G42+G43+G44+G45</f>
        <v>1189.58097</v>
      </c>
      <c r="H46" s="100">
        <f>+H40+H41+H42+H43+H44+H45</f>
        <v>772.3351899999999</v>
      </c>
      <c r="I46" s="76"/>
      <c r="J46" s="99">
        <f>+J40+J41+J42+J43+J44+J45</f>
        <v>0</v>
      </c>
      <c r="K46" s="100">
        <f>+K40+K41+K42+K43+K44+K45</f>
        <v>0</v>
      </c>
      <c r="L46" s="76"/>
      <c r="M46" s="99">
        <f>+M40+M41+M42+M43+M44+M45</f>
        <v>2208.3854200000005</v>
      </c>
      <c r="N46" s="100">
        <f>+N40+N41+N42+N43+N44+N45</f>
        <v>428.3749499999999</v>
      </c>
      <c r="O46" s="147"/>
      <c r="P46" s="182">
        <f>+SUM(P39:P45)</f>
        <v>1089.39502</v>
      </c>
      <c r="Q46" s="183">
        <f>+SUM(Q39:Q45)</f>
        <v>772.3314499999999</v>
      </c>
    </row>
    <row r="47" spans="1:17" ht="15">
      <c r="A47" s="4" t="s">
        <v>35</v>
      </c>
      <c r="B47" s="5"/>
      <c r="C47" s="76"/>
      <c r="D47" s="93" t="str">
        <f>+IF(+OR(D48&lt;0,D49&lt;0),"НЕРАВНЕНИЕ !"," ")</f>
        <v> </v>
      </c>
      <c r="E47" s="94" t="str">
        <f>+IF(+OR(E48&lt;0,E49&lt;0),"НЕРАВНЕНИЕ !"," ")</f>
        <v> </v>
      </c>
      <c r="F47" s="76"/>
      <c r="G47" s="93" t="str">
        <f>+IF(+OR(G48&lt;0,G49&lt;0),"НЕРАВНЕНИЕ !"," ")</f>
        <v> </v>
      </c>
      <c r="H47" s="94" t="str">
        <f>+IF(+OR(H48&lt;0,H49&lt;0),"НЕРАВНЕНИЕ !"," ")</f>
        <v> </v>
      </c>
      <c r="I47" s="76"/>
      <c r="J47" s="93" t="str">
        <f>+IF(+OR(J48&lt;0,J49&lt;0),"НЕРАВНЕНИЕ !"," ")</f>
        <v> </v>
      </c>
      <c r="K47" s="94" t="str">
        <f>+IF(+OR(K48&lt;0,K49&lt;0),"НЕРАВНЕНИЕ !"," ")</f>
        <v> </v>
      </c>
      <c r="L47" s="76"/>
      <c r="M47" s="93" t="str">
        <f>+IF(+OR(M48&lt;0,M49&lt;0),"НЕРАВНЕНИЕ !"," ")</f>
        <v> </v>
      </c>
      <c r="N47" s="94" t="str">
        <f>+IF(+OR(N48&lt;0,N49&lt;0),"НЕРАВНЕНИЕ !"," ")</f>
        <v> </v>
      </c>
      <c r="O47" s="147"/>
      <c r="P47" s="184" t="s">
        <v>108</v>
      </c>
      <c r="Q47" s="185" t="s">
        <v>109</v>
      </c>
    </row>
    <row r="48" spans="1:17" ht="15">
      <c r="A48" s="21" t="s">
        <v>36</v>
      </c>
      <c r="B48" s="22">
        <v>81</v>
      </c>
      <c r="C48" s="76"/>
      <c r="D48" s="95">
        <f>+'[2]BALANCE-SHEET-2021-leva'!D48/1000+IF(+'[2]Rounding'!$C$6=$B48,+'[2]Rounding'!D$6,0)+IF(+'[2]Rounding'!$C$7=$B48,+'[2]Rounding'!D$7,0)</f>
        <v>0</v>
      </c>
      <c r="E48" s="96">
        <f>+'[2]BALANCE-SHEET-2021-leva'!E48/1000+IF(+'[2]Rounding'!$C$6=$B48,+'[2]Rounding'!E$6,0)+IF(+'[2]Rounding'!$C$7=$B48,+'[2]Rounding'!E$7,0)</f>
        <v>0</v>
      </c>
      <c r="F48" s="76"/>
      <c r="G48" s="95">
        <f>+'[2]BALANCE-SHEET-2021-leva'!G48/1000+IF(+'[2]Rounding'!$G$6=$B48,+'[2]Rounding'!H$6,0)+IF(+'[2]Rounding'!$G$7=$B48,+'[2]Rounding'!H$7,0)</f>
        <v>0</v>
      </c>
      <c r="H48" s="96">
        <f>+'[2]BALANCE-SHEET-2021-leva'!H48/1000+IF(+'[2]Rounding'!$G$6=$B48,+'[2]Rounding'!I$6,0)+IF(+'[2]Rounding'!$G$7=$B48,+'[2]Rounding'!I$7,0)</f>
        <v>0</v>
      </c>
      <c r="I48" s="76"/>
      <c r="J48" s="95">
        <f>+'[2]BALANCE-SHEET-2021-leva'!J48/1000+IF(+'[2]Rounding'!$K$6=$B48,+'[2]Rounding'!L$6,0)+IF(+'[2]Rounding'!$K$7=$B48,+'[2]Rounding'!L$7,0)</f>
        <v>0</v>
      </c>
      <c r="K48" s="96">
        <f>+'[2]BALANCE-SHEET-2021-leva'!K48/1000+IF(+'[2]Rounding'!$K$6=$B48,+'[2]Rounding'!M$6,0)+IF(+'[2]Rounding'!$K$7=$B48,+'[2]Rounding'!M$7,0)</f>
        <v>0</v>
      </c>
      <c r="L48" s="76"/>
      <c r="M48" s="95">
        <f>+D48+G48+J48+IF(+'[2]Rounding'!$O$6=$B48,+'[2]Rounding'!P$6,0)+IF(+'[2]Rounding'!$O$7=$B48,+'[2]Rounding'!P$7,0)</f>
        <v>0</v>
      </c>
      <c r="N48" s="96">
        <f>+E48+H48+K48+IF(+'[2]Rounding'!$O$6=$B48,+'[2]Rounding'!Q$6,0)+IF(+'[2]Rounding'!$O$7=$B48,+'[2]Rounding'!Q$7,0)</f>
        <v>0</v>
      </c>
      <c r="O48" s="147"/>
      <c r="P48" s="186" t="str">
        <f>+IF(+'[1]Intra-Balances'!R2="O K","O K","ГРЕШКА - превишава ДТ с/до")</f>
        <v>O K</v>
      </c>
      <c r="Q48" s="187" t="str">
        <f>+IF(+'[1]Intra-Balances'!O2="O K","O K","ГРЕШКА - превишава ДТ с/до")</f>
        <v>O K</v>
      </c>
    </row>
    <row r="49" spans="1:17" ht="15">
      <c r="A49" s="23" t="s">
        <v>37</v>
      </c>
      <c r="B49" s="24">
        <v>82</v>
      </c>
      <c r="C49" s="76"/>
      <c r="D49" s="97">
        <f>+'[2]BALANCE-SHEET-2021-leva'!D49/1000+IF(+'[2]Rounding'!$C$6=$B49,+'[2]Rounding'!D$6,0)+IF(+'[2]Rounding'!$C$7=$B49,+'[2]Rounding'!D$7,0)</f>
        <v>11792.60131</v>
      </c>
      <c r="E49" s="98">
        <f>+'[2]BALANCE-SHEET-2021-leva'!E49/1000+IF(+'[2]Rounding'!$C$6=$B49,+'[2]Rounding'!E$6,0)+IF(+'[2]Rounding'!$C$7=$B49,+'[2]Rounding'!E$7,0)</f>
        <v>19446.337239999997</v>
      </c>
      <c r="F49" s="76"/>
      <c r="G49" s="97">
        <f>+'[2]BALANCE-SHEET-2021-leva'!G49/1000+IF(+'[2]Rounding'!$G$6=$B49,+'[2]Rounding'!H$6,0)+IF(+'[2]Rounding'!$G$7=$B49,+'[2]Rounding'!H$7,0)</f>
        <v>0</v>
      </c>
      <c r="H49" s="98">
        <f>+'[2]BALANCE-SHEET-2021-leva'!H49/1000+IF(+'[2]Rounding'!$G$6=$B49,+'[2]Rounding'!I$6,0)+IF(+'[2]Rounding'!$G$7=$B49,+'[2]Rounding'!I$7,0)</f>
        <v>0</v>
      </c>
      <c r="I49" s="76"/>
      <c r="J49" s="97">
        <f>+'[2]BALANCE-SHEET-2021-leva'!J49/1000+IF(+'[2]Rounding'!$K$6=$B49,+'[2]Rounding'!L$6,0)+IF(+'[2]Rounding'!$K$7=$B49,+'[2]Rounding'!L$7,0)</f>
        <v>127.94386999999999</v>
      </c>
      <c r="K49" s="98">
        <f>+'[2]BALANCE-SHEET-2021-leva'!K49/1000+IF(+'[2]Rounding'!$K$6=$B49,+'[2]Rounding'!M$6,0)+IF(+'[2]Rounding'!$K$7=$B49,+'[2]Rounding'!M$7,0)</f>
        <v>82.78254</v>
      </c>
      <c r="L49" s="76"/>
      <c r="M49" s="97">
        <f>+D49+G49+J49+IF(+'[2]Rounding'!$O$6=$B49,+'[2]Rounding'!P$6,0)+IF(+'[2]Rounding'!$O$7=$B49,+'[2]Rounding'!P$7,0)</f>
        <v>11920.54518</v>
      </c>
      <c r="N49" s="98">
        <f>+E49+H49+K49+IF(+'[2]Rounding'!$O$6=$B49,+'[2]Rounding'!Q$6,0)+IF(+'[2]Rounding'!$O$7=$B49,+'[2]Rounding'!Q$7,0)</f>
        <v>19529.119779999997</v>
      </c>
      <c r="O49" s="147"/>
      <c r="P49" s="216" t="str">
        <f>+'[1]BALANCE-SHEET-2021-leva'!P49:Q49</f>
        <v>O K</v>
      </c>
      <c r="Q49" s="216"/>
    </row>
    <row r="50" spans="1:17" ht="15">
      <c r="A50" s="7" t="s">
        <v>38</v>
      </c>
      <c r="B50" s="8">
        <v>80</v>
      </c>
      <c r="C50" s="76"/>
      <c r="D50" s="99">
        <f>+D48+D49</f>
        <v>11792.60131</v>
      </c>
      <c r="E50" s="100">
        <f>+E48+E49</f>
        <v>19446.337239999997</v>
      </c>
      <c r="F50" s="76"/>
      <c r="G50" s="99">
        <f>+G48+G49</f>
        <v>0</v>
      </c>
      <c r="H50" s="100">
        <f>+H48+H49</f>
        <v>0</v>
      </c>
      <c r="I50" s="76"/>
      <c r="J50" s="99">
        <f>+J48+J49</f>
        <v>127.94386999999999</v>
      </c>
      <c r="K50" s="100">
        <f>+K48+K49</f>
        <v>82.78254</v>
      </c>
      <c r="L50" s="76"/>
      <c r="M50" s="99">
        <f>+M48+M49</f>
        <v>11920.54518</v>
      </c>
      <c r="N50" s="100">
        <f>+N48+N49</f>
        <v>19529.119779999997</v>
      </c>
      <c r="O50" s="147"/>
      <c r="P50" s="217" t="str">
        <f>+'[1]BALANCE-SHEET-2021-leva'!P50:Q50</f>
        <v>O K</v>
      </c>
      <c r="Q50" s="217"/>
    </row>
    <row r="51" spans="1:17" ht="15">
      <c r="A51" s="4"/>
      <c r="B51" s="5"/>
      <c r="C51" s="76"/>
      <c r="D51" s="101"/>
      <c r="E51" s="102"/>
      <c r="F51" s="76"/>
      <c r="G51" s="101"/>
      <c r="H51" s="102"/>
      <c r="I51" s="76"/>
      <c r="J51" s="101"/>
      <c r="K51" s="102"/>
      <c r="L51" s="76"/>
      <c r="M51" s="101"/>
      <c r="N51" s="102"/>
      <c r="O51" s="147"/>
      <c r="P51" s="1"/>
      <c r="Q51" s="1"/>
    </row>
    <row r="52" spans="1:17" ht="18" thickBot="1">
      <c r="A52" s="39" t="s">
        <v>39</v>
      </c>
      <c r="B52" s="40">
        <v>200</v>
      </c>
      <c r="C52" s="76"/>
      <c r="D52" s="103">
        <f>+D34+D38+D46+D50</f>
        <v>13900.80078</v>
      </c>
      <c r="E52" s="104">
        <f>+E34+E38+E46+E50</f>
        <v>19874.70845</v>
      </c>
      <c r="F52" s="76"/>
      <c r="G52" s="103">
        <f>+G34+G38+G46+G50</f>
        <v>1189.58097</v>
      </c>
      <c r="H52" s="104">
        <f>+H34+H38+H46+H50</f>
        <v>772.3351899999999</v>
      </c>
      <c r="I52" s="76"/>
      <c r="J52" s="103">
        <f>+J34+J38+J46+J50</f>
        <v>127.94386999999999</v>
      </c>
      <c r="K52" s="104">
        <f>+K34+K38+K46+K50</f>
        <v>82.78254</v>
      </c>
      <c r="L52" s="76"/>
      <c r="M52" s="103">
        <f>+M34+M38+M46+M50</f>
        <v>14128.9306</v>
      </c>
      <c r="N52" s="104">
        <f>+N34+N38+N46+N50</f>
        <v>19957.49473</v>
      </c>
      <c r="O52" s="147"/>
      <c r="P52" s="1"/>
      <c r="Q52" s="1"/>
    </row>
    <row r="53" spans="1:17" ht="15">
      <c r="A53" s="4"/>
      <c r="B53" s="5"/>
      <c r="C53" s="76"/>
      <c r="D53" s="106"/>
      <c r="E53" s="102"/>
      <c r="F53" s="76"/>
      <c r="G53" s="106"/>
      <c r="H53" s="102"/>
      <c r="I53" s="76"/>
      <c r="J53" s="106"/>
      <c r="K53" s="102"/>
      <c r="L53" s="76"/>
      <c r="M53" s="106"/>
      <c r="N53" s="102"/>
      <c r="O53" s="147"/>
      <c r="P53" s="1"/>
      <c r="Q53" s="1"/>
    </row>
    <row r="54" spans="1:17" ht="21" thickBot="1">
      <c r="A54" s="107" t="s">
        <v>40</v>
      </c>
      <c r="B54" s="108">
        <v>300</v>
      </c>
      <c r="C54" s="76"/>
      <c r="D54" s="109">
        <f>+ROUND(+D28+D52,0)</f>
        <v>114643</v>
      </c>
      <c r="E54" s="110">
        <f>+ROUND(+E28+E52,0)</f>
        <v>117704</v>
      </c>
      <c r="F54" s="76"/>
      <c r="G54" s="109">
        <f>+ROUND(+G28+G52,0)</f>
        <v>1190</v>
      </c>
      <c r="H54" s="110">
        <f>+ROUND(+H28+H52,0)</f>
        <v>772</v>
      </c>
      <c r="I54" s="76"/>
      <c r="J54" s="109">
        <f>+ROUND(+J28+J52,0)</f>
        <v>45799</v>
      </c>
      <c r="K54" s="110">
        <f>+ROUND(+K28+K52,0)</f>
        <v>46364</v>
      </c>
      <c r="L54" s="76"/>
      <c r="M54" s="109">
        <f>+ROUND(+M28+M52,0)</f>
        <v>160542</v>
      </c>
      <c r="N54" s="110">
        <f>+ROUND(+N28+N52,0)</f>
        <v>164068</v>
      </c>
      <c r="O54" s="147"/>
      <c r="P54" s="1"/>
      <c r="Q54" s="1"/>
    </row>
    <row r="55" spans="1:17" ht="18.75" thickBot="1" thickTop="1">
      <c r="A55" s="9" t="s">
        <v>41</v>
      </c>
      <c r="B55" s="10">
        <v>350</v>
      </c>
      <c r="C55" s="76"/>
      <c r="D55" s="111">
        <f>+ROUND('[2]BALANCE-SHEET-2021-leva'!D55/1000,0)+'[2]Rounding'!D62</f>
        <v>12735</v>
      </c>
      <c r="E55" s="112">
        <f>+ROUND('[2]BALANCE-SHEET-2021-leva'!E55/1000,0)+'[2]Rounding'!E62</f>
        <v>11240</v>
      </c>
      <c r="F55" s="76"/>
      <c r="G55" s="111">
        <f>+ROUND('[2]BALANCE-SHEET-2021-leva'!G55/1000,0)+'[2]Rounding'!H62</f>
        <v>0</v>
      </c>
      <c r="H55" s="112">
        <f>+ROUND('[2]BALANCE-SHEET-2021-leva'!H55/1000,0)+'[2]Rounding'!I62</f>
        <v>0</v>
      </c>
      <c r="I55" s="76"/>
      <c r="J55" s="111">
        <f>+ROUND('[2]BALANCE-SHEET-2021-leva'!J55/1000,0)+'[2]Rounding'!L62</f>
        <v>0</v>
      </c>
      <c r="K55" s="112">
        <f>+ROUND('[2]BALANCE-SHEET-2021-leva'!K55/1000,0)+'[2]Rounding'!M62</f>
        <v>0</v>
      </c>
      <c r="L55" s="76"/>
      <c r="M55" s="111">
        <f>+ROUND((D55+G55+J55),0)+'[2]Rounding'!P62</f>
        <v>12735</v>
      </c>
      <c r="N55" s="112">
        <f>+ROUND((E55+H55+K55),0)+'[2]Rounding'!Q62</f>
        <v>11241</v>
      </c>
      <c r="O55" s="147"/>
      <c r="P55" s="1"/>
      <c r="Q55" s="1"/>
    </row>
    <row r="56" spans="1:17" ht="18" thickTop="1">
      <c r="A56" s="113"/>
      <c r="B56" s="114"/>
      <c r="C56" s="76"/>
      <c r="D56" s="115" t="str">
        <f>+IF(+OR(D55&lt;0),"НЕРАВНЕНИЕ !"," ")</f>
        <v> </v>
      </c>
      <c r="E56" s="115" t="str">
        <f>+IF(+OR(E55&lt;0),"НЕРАВНЕНИЕ !"," ")</f>
        <v> </v>
      </c>
      <c r="F56" s="76"/>
      <c r="G56" s="115" t="str">
        <f>+IF(+OR(G55&lt;0),"НЕРАВНЕНИЕ !"," ")</f>
        <v> </v>
      </c>
      <c r="H56" s="115" t="str">
        <f>+IF(+OR(H55&lt;0),"НЕРАВНЕНИЕ !"," ")</f>
        <v> </v>
      </c>
      <c r="I56" s="76"/>
      <c r="J56" s="115" t="str">
        <f>+IF(+OR(J55&lt;0),"НЕРАВНЕНИЕ !"," ")</f>
        <v> </v>
      </c>
      <c r="K56" s="115" t="str">
        <f>+IF(+OR(K55&lt;0),"НЕРАВНЕНИЕ !"," ")</f>
        <v> </v>
      </c>
      <c r="L56" s="76"/>
      <c r="M56" s="115" t="str">
        <f>+IF(+OR(M55&lt;0),"НЕРАВНЕНИЕ !"," ")</f>
        <v> </v>
      </c>
      <c r="N56" s="115" t="str">
        <f>+IF(+OR(N55&lt;0),"НЕРАВНЕНИЕ !"," ")</f>
        <v> </v>
      </c>
      <c r="O56" s="147"/>
      <c r="P56" s="1"/>
      <c r="Q56" s="1"/>
    </row>
    <row r="57" spans="1:17" ht="18" thickBot="1">
      <c r="A57" s="84" t="s">
        <v>85</v>
      </c>
      <c r="B57" s="74"/>
      <c r="C57" s="76"/>
      <c r="D57" s="74"/>
      <c r="E57" s="74"/>
      <c r="F57" s="76"/>
      <c r="G57" s="74"/>
      <c r="H57" s="74"/>
      <c r="I57" s="76"/>
      <c r="J57" s="74"/>
      <c r="K57" s="74"/>
      <c r="L57" s="76"/>
      <c r="M57" s="116" t="s">
        <v>86</v>
      </c>
      <c r="N57" s="116"/>
      <c r="O57" s="147"/>
      <c r="P57" s="1"/>
      <c r="Q57" s="1"/>
    </row>
    <row r="58" spans="1:17" ht="19.5" customHeight="1" thickTop="1">
      <c r="A58" s="53"/>
      <c r="B58" s="246" t="s">
        <v>94</v>
      </c>
      <c r="C58" s="86"/>
      <c r="D58" s="35" t="s">
        <v>87</v>
      </c>
      <c r="E58" s="36"/>
      <c r="F58" s="86"/>
      <c r="G58" s="32" t="s">
        <v>88</v>
      </c>
      <c r="H58" s="33"/>
      <c r="I58" s="86" t="s">
        <v>7</v>
      </c>
      <c r="J58" s="87" t="s">
        <v>76</v>
      </c>
      <c r="K58" s="88"/>
      <c r="L58" s="86"/>
      <c r="M58" s="239" t="s">
        <v>1</v>
      </c>
      <c r="N58" s="240"/>
      <c r="O58" s="147"/>
      <c r="P58" s="1"/>
      <c r="Q58" s="1"/>
    </row>
    <row r="59" spans="1:17" ht="18" thickBot="1">
      <c r="A59" s="54" t="s">
        <v>2</v>
      </c>
      <c r="B59" s="247"/>
      <c r="C59" s="86"/>
      <c r="D59" s="117" t="s">
        <v>89</v>
      </c>
      <c r="E59" s="37"/>
      <c r="F59" s="86"/>
      <c r="G59" s="118" t="s">
        <v>90</v>
      </c>
      <c r="H59" s="34"/>
      <c r="I59" s="86"/>
      <c r="J59" s="119" t="s">
        <v>79</v>
      </c>
      <c r="K59" s="91"/>
      <c r="L59" s="86"/>
      <c r="M59" s="241"/>
      <c r="N59" s="242"/>
      <c r="O59" s="147"/>
      <c r="P59" s="1"/>
      <c r="Q59" s="1"/>
    </row>
    <row r="60" spans="1:17" ht="27.75" thickBot="1">
      <c r="A60" s="67">
        <f>+A9</f>
        <v>0</v>
      </c>
      <c r="B60" s="248"/>
      <c r="C60" s="76"/>
      <c r="D60" s="57" t="str">
        <f>+D9</f>
        <v>Текуща година</v>
      </c>
      <c r="E60" s="120" t="str">
        <f>+E9</f>
        <v>Предходна година (към 31 декември)</v>
      </c>
      <c r="F60" s="76"/>
      <c r="G60" s="60" t="str">
        <f>+G9</f>
        <v>Текуща година</v>
      </c>
      <c r="H60" s="120" t="str">
        <f>+H9</f>
        <v>Предходна година (към 31 декември)</v>
      </c>
      <c r="I60" s="76"/>
      <c r="J60" s="60" t="str">
        <f>+J9</f>
        <v>Текуща година</v>
      </c>
      <c r="K60" s="120" t="str">
        <f>+K9</f>
        <v>Предходна година (към 31 декември)</v>
      </c>
      <c r="L60" s="76"/>
      <c r="M60" s="60" t="str">
        <f>+M9</f>
        <v>Текуща година</v>
      </c>
      <c r="N60" s="120" t="str">
        <f>+N9</f>
        <v>Предходна година (към 31 декември)</v>
      </c>
      <c r="O60" s="147"/>
      <c r="P60" s="1"/>
      <c r="Q60" s="1"/>
    </row>
    <row r="61" spans="1:17" ht="15.75" thickBot="1">
      <c r="A61" s="55" t="s">
        <v>3</v>
      </c>
      <c r="B61" s="56" t="s">
        <v>4</v>
      </c>
      <c r="C61" s="76"/>
      <c r="D61" s="58">
        <f>+D10</f>
        <v>1</v>
      </c>
      <c r="E61" s="59">
        <f>+E10</f>
        <v>2</v>
      </c>
      <c r="F61" s="76"/>
      <c r="G61" s="58">
        <f>+G10</f>
        <v>3</v>
      </c>
      <c r="H61" s="59">
        <f>+H10</f>
        <v>4</v>
      </c>
      <c r="I61" s="76"/>
      <c r="J61" s="58">
        <f>+J10</f>
        <v>5</v>
      </c>
      <c r="K61" s="59">
        <f>+K10</f>
        <v>6</v>
      </c>
      <c r="L61" s="76"/>
      <c r="M61" s="58">
        <f>+M10</f>
        <v>7</v>
      </c>
      <c r="N61" s="59">
        <f>+N10</f>
        <v>8</v>
      </c>
      <c r="O61" s="147"/>
      <c r="P61" s="1"/>
      <c r="Q61" s="167" t="s">
        <v>101</v>
      </c>
    </row>
    <row r="62" spans="1:17" ht="15.75">
      <c r="A62" s="11" t="s">
        <v>42</v>
      </c>
      <c r="B62" s="12"/>
      <c r="C62" s="76"/>
      <c r="D62" s="38"/>
      <c r="E62" s="94"/>
      <c r="F62" s="76"/>
      <c r="G62" s="38"/>
      <c r="H62" s="94"/>
      <c r="I62" s="76"/>
      <c r="J62" s="38"/>
      <c r="K62" s="94"/>
      <c r="L62" s="76"/>
      <c r="M62" s="38"/>
      <c r="N62" s="94"/>
      <c r="O62" s="147"/>
      <c r="P62" s="168" t="s">
        <v>102</v>
      </c>
      <c r="Q62" s="188" t="str">
        <f>+Q36</f>
        <v>'Municipal-Bal'</v>
      </c>
    </row>
    <row r="63" spans="1:17" ht="15">
      <c r="A63" s="25" t="s">
        <v>43</v>
      </c>
      <c r="B63" s="26">
        <v>401</v>
      </c>
      <c r="C63" s="76"/>
      <c r="D63" s="121">
        <f>+'[2]BALANCE-SHEET-2021-leva'!D63/1000+IF(+'[2]Rounding'!$C$54=$B63,+'[2]Rounding'!D$54,0)+IF(+'[2]Rounding'!$C$55=$B63,+'[2]Rounding'!D$55,0)</f>
        <v>70401.11067</v>
      </c>
      <c r="E63" s="122">
        <f>+'[2]BALANCE-SHEET-2021-leva'!E63/1000+IF(+'[2]Rounding'!$C$54=$B63,+'[2]Rounding'!E$54,0)+IF(+'[2]Rounding'!$C$55=$B63,+'[2]Rounding'!E$55,0)</f>
        <v>76890.93221</v>
      </c>
      <c r="F63" s="76"/>
      <c r="G63" s="95">
        <f>+'[2]BALANCE-SHEET-2021-leva'!G63/1000+IF(+'[2]Rounding'!$G$54=$B63,+'[2]Rounding'!H$54,0)+IF(+'[2]Rounding'!$G$55=$B63,+'[2]Rounding'!H$55,0)</f>
        <v>-0.37827999999999995</v>
      </c>
      <c r="H63" s="96">
        <f>+'[2]BALANCE-SHEET-2021-leva'!H63/1000+IF(+'[2]Rounding'!$G$54=$B63,+'[2]Rounding'!I$54,0)+IF(+'[2]Rounding'!$G$55=$B63,+'[2]Rounding'!I$55,0)</f>
        <v>-0.37827999999999995</v>
      </c>
      <c r="I63" s="76"/>
      <c r="J63" s="95">
        <f>+'[2]BALANCE-SHEET-2021-leva'!J63/1000+IF(+'[2]Rounding'!$K$54=$B63,+'[2]Rounding'!L$54,0)+IF(+'[2]Rounding'!$K$55=$B63,+'[2]Rounding'!L$55,0)</f>
        <v>-56.904360000000004</v>
      </c>
      <c r="K63" s="96">
        <f>+'[2]BALANCE-SHEET-2021-leva'!K63/1000+IF(+'[2]Rounding'!$K$54=$B63,+'[2]Rounding'!M$54,0)+IF(+'[2]Rounding'!$K$55=$B63,+'[2]Rounding'!M$55,0)</f>
        <v>1.6076400000000002</v>
      </c>
      <c r="L63" s="76"/>
      <c r="M63" s="95">
        <f>+D63+G63+J63+IF(+'[2]Rounding'!$O$54=$B63,+'[2]Rounding'!P$54,0)+IF(+'[2]Rounding'!$O$55=$B63,+'[2]Rounding'!P$55,0)</f>
        <v>70343.82802999999</v>
      </c>
      <c r="N63" s="96">
        <f>+E63+H63+K63+IF(+'[2]Rounding'!$O$54=$B63,+'[2]Rounding'!Q$54,0)+IF(+'[2]Rounding'!$O$55=$B63,+'[2]Rounding'!Q$55,0)</f>
        <v>76892.16157</v>
      </c>
      <c r="O63" s="147"/>
      <c r="P63" s="189" t="s">
        <v>110</v>
      </c>
      <c r="Q63" s="190"/>
    </row>
    <row r="64" spans="1:17" ht="15">
      <c r="A64" s="21" t="s">
        <v>44</v>
      </c>
      <c r="B64" s="27">
        <v>402</v>
      </c>
      <c r="C64" s="76"/>
      <c r="D64" s="95">
        <f>+'[2]BALANCE-SHEET-2021-leva'!D64/1000+IF(+'[2]Rounding'!$C$54=$B64,+'[2]Rounding'!D$54,0)+IF(+'[2]Rounding'!$C$55=$B64,+'[2]Rounding'!D$55,0)</f>
        <v>45734.49338</v>
      </c>
      <c r="E64" s="96">
        <f>+'[2]BALANCE-SHEET-2021-leva'!E64/1000+IF(+'[2]Rounding'!$C$54=$B64,+'[2]Rounding'!E$54,0)+IF(+'[2]Rounding'!$C$55=$B64,+'[2]Rounding'!E$55,0)</f>
        <v>49107.1285</v>
      </c>
      <c r="F64" s="76"/>
      <c r="G64" s="95">
        <f>+'[2]BALANCE-SHEET-2021-leva'!G64/1000+IF(+'[2]Rounding'!$G$54=$B64,+'[2]Rounding'!H$54,0)+IF(+'[2]Rounding'!$G$55=$B64,+'[2]Rounding'!H$55,0)</f>
        <v>772.7134699999999</v>
      </c>
      <c r="H64" s="96">
        <f>+'[2]BALANCE-SHEET-2021-leva'!H64/1000+IF(+'[2]Rounding'!$G$54=$B64,+'[2]Rounding'!I$54,0)+IF(+'[2]Rounding'!$G$55=$B64,+'[2]Rounding'!I$55,0)</f>
        <v>1462.60005</v>
      </c>
      <c r="I64" s="76"/>
      <c r="J64" s="95">
        <f>+'[2]BALANCE-SHEET-2021-leva'!J64/1000+IF(+'[2]Rounding'!$K$54=$B64,+'[2]Rounding'!L$54,0)+IF(+'[2]Rounding'!$K$55=$B64,+'[2]Rounding'!L$55,0)</f>
        <v>46339.678799999994</v>
      </c>
      <c r="K64" s="96">
        <f>+'[2]BALANCE-SHEET-2021-leva'!K64/1000+IF(+'[2]Rounding'!$K$54=$B64,+'[2]Rounding'!M$54,0)+IF(+'[2]Rounding'!$K$55=$B64,+'[2]Rounding'!M$55,0)</f>
        <v>49914.20961</v>
      </c>
      <c r="L64" s="76"/>
      <c r="M64" s="95">
        <f>+D64+G64+J64+IF(+'[2]Rounding'!$O$54=$B64,+'[2]Rounding'!P$54,0)+IF(+'[2]Rounding'!$O$55=$B64,+'[2]Rounding'!P$55,0)+P$64</f>
        <v>92846.88565</v>
      </c>
      <c r="N64" s="96">
        <f>+E64+H64+K64+IF(+'[2]Rounding'!$O$54=$B64,+'[2]Rounding'!Q$54,0)+IF(+'[2]Rounding'!$O$55=$B64,+'[2]Rounding'!Q$55,0)+Q$64</f>
        <v>100483.93815999999</v>
      </c>
      <c r="O64" s="147"/>
      <c r="P64" s="180">
        <f>+'[1]BALANCE-SHEET-2021-leva'!P64/1000</f>
        <v>0</v>
      </c>
      <c r="Q64" s="181">
        <f>+'[1]BALANCE-SHEET-2021-leva'!Q64/1000</f>
        <v>0</v>
      </c>
    </row>
    <row r="65" spans="1:17" ht="15">
      <c r="A65" s="23" t="s">
        <v>45</v>
      </c>
      <c r="B65" s="28">
        <v>403</v>
      </c>
      <c r="C65" s="76"/>
      <c r="D65" s="97">
        <f>+'[2]BALANCE-SHEET-2021-leva'!D65/1000+IF(+'[2]Rounding'!$C$54=$B65,+'[2]Rounding'!D$54,0)+IF(+'[2]Rounding'!$C$55=$B65,+'[2]Rounding'!D$55,0)</f>
        <v>-3904.43732</v>
      </c>
      <c r="E65" s="98">
        <f>+'[2]BALANCE-SHEET-2021-leva'!E65/1000+IF(+'[2]Rounding'!$C$54=$B65,+'[2]Rounding'!E$54,0)+IF(+'[2]Rounding'!$C$55=$B65,+'[2]Rounding'!E$55,0)</f>
        <v>-9862.45666</v>
      </c>
      <c r="F65" s="76"/>
      <c r="G65" s="97">
        <f>+'[2]BALANCE-SHEET-2021-leva'!G65/1000+IF(+'[2]Rounding'!$G$54=$B65,+'[2]Rounding'!H$54,0)+IF(+'[2]Rounding'!$G$55=$B65,+'[2]Rounding'!H$55,0)</f>
        <v>417.24577</v>
      </c>
      <c r="H65" s="98">
        <f>+'[2]BALANCE-SHEET-2021-leva'!H65/1000+IF(+'[2]Rounding'!$G$54=$B65,+'[2]Rounding'!I$54,0)+IF(+'[2]Rounding'!$G$55=$B65,+'[2]Rounding'!I$55,0)</f>
        <v>-689.88658</v>
      </c>
      <c r="I65" s="76"/>
      <c r="J65" s="97">
        <f>+'[2]BALANCE-SHEET-2021-leva'!J65/1000+IF(+'[2]Rounding'!$K$54=$B65,+'[2]Rounding'!L$54,0)+IF(+'[2]Rounding'!$K$55=$B65,+'[2]Rounding'!L$55,0)</f>
        <v>-609.70628</v>
      </c>
      <c r="K65" s="98">
        <f>+'[2]BALANCE-SHEET-2021-leva'!K65/1000+IF(+'[2]Rounding'!$K$54=$B65,+'[2]Rounding'!M$54,0)+IF(+'[2]Rounding'!$K$55=$B65,+'[2]Rounding'!M$55,0)</f>
        <v>-3633.04281</v>
      </c>
      <c r="L65" s="76"/>
      <c r="M65" s="97">
        <f>+D65+G65+J65+IF(+'[2]Rounding'!$O$54=$B65,+'[2]Rounding'!P$54,0)+IF(+'[2]Rounding'!$O$55=$B65,+'[2]Rounding'!P$55,0)+P$65</f>
        <v>-4096.89783</v>
      </c>
      <c r="N65" s="98">
        <f>+E65+H65+K65+IF(+'[2]Rounding'!$O$54=$B65,+'[2]Rounding'!Q$54,0)+IF(+'[2]Rounding'!$O$55=$B65,+'[2]Rounding'!Q$55,0)+Q$65</f>
        <v>-14185.386050000001</v>
      </c>
      <c r="O65" s="147"/>
      <c r="P65" s="180">
        <f>+'[1]BALANCE-SHEET-2021-leva'!P65/1000</f>
        <v>0</v>
      </c>
      <c r="Q65" s="181">
        <f>+'[1]BALANCE-SHEET-2021-leva'!Q65/1000</f>
        <v>0</v>
      </c>
    </row>
    <row r="66" spans="1:17" ht="18" thickBot="1">
      <c r="A66" s="44" t="s">
        <v>46</v>
      </c>
      <c r="B66" s="45">
        <v>400</v>
      </c>
      <c r="C66" s="76"/>
      <c r="D66" s="103">
        <f>+D63+D64+D65</f>
        <v>112231.16673</v>
      </c>
      <c r="E66" s="104">
        <f>+E63+E64+E65</f>
        <v>116135.60405</v>
      </c>
      <c r="F66" s="76"/>
      <c r="G66" s="103">
        <f>+G63+G64+G65</f>
        <v>1189.5809599999998</v>
      </c>
      <c r="H66" s="104">
        <f>+H63+H64+H65</f>
        <v>772.3351900000001</v>
      </c>
      <c r="I66" s="76"/>
      <c r="J66" s="103">
        <f>+J63+J64+J65</f>
        <v>45673.068159999995</v>
      </c>
      <c r="K66" s="104">
        <f>+K63+K64+K65</f>
        <v>46282.77444</v>
      </c>
      <c r="L66" s="76"/>
      <c r="M66" s="103">
        <f>+M63+M64+M65</f>
        <v>159093.81584999998</v>
      </c>
      <c r="N66" s="104">
        <f>+N63+N64+N65</f>
        <v>163190.71368</v>
      </c>
      <c r="O66" s="147"/>
      <c r="P66" s="216" t="str">
        <f>+'[1]BALANCE-SHEET-2021-leva'!P66:Q66</f>
        <v>O K</v>
      </c>
      <c r="Q66" s="216"/>
    </row>
    <row r="67" spans="1:17" ht="15">
      <c r="A67" s="146" t="s">
        <v>95</v>
      </c>
      <c r="B67" s="13"/>
      <c r="C67" s="76"/>
      <c r="D67" s="30"/>
      <c r="E67" s="31"/>
      <c r="F67" s="76"/>
      <c r="G67" s="30"/>
      <c r="H67" s="31"/>
      <c r="I67" s="76"/>
      <c r="J67" s="30"/>
      <c r="K67" s="31"/>
      <c r="L67" s="76"/>
      <c r="M67" s="30"/>
      <c r="N67" s="31"/>
      <c r="O67" s="147"/>
      <c r="P67" s="217" t="str">
        <f>+'[1]BALANCE-SHEET-2021-leva'!P67:Q67</f>
        <v>O K</v>
      </c>
      <c r="Q67" s="217"/>
    </row>
    <row r="68" spans="1:17" ht="15">
      <c r="A68" s="11" t="s">
        <v>47</v>
      </c>
      <c r="B68" s="12"/>
      <c r="C68" s="76"/>
      <c r="D68" s="93" t="str">
        <f>+IF(+OR(D69&lt;0,D70&lt;0,D71&lt;0),"НЕРАВНЕНИЕ !"," ")</f>
        <v> </v>
      </c>
      <c r="E68" s="94" t="str">
        <f>+IF(+OR(E69&lt;0,E70&lt;0,E71&lt;0),"НЕРАВНЕНИЕ !"," ")</f>
        <v> </v>
      </c>
      <c r="F68" s="76"/>
      <c r="G68" s="93" t="str">
        <f>+IF(+OR(G69&lt;0,G70&lt;0,G71&lt;0),"НЕРАВНЕНИЕ !"," ")</f>
        <v> </v>
      </c>
      <c r="H68" s="94" t="str">
        <f>+IF(+OR(H69&lt;0,H70&lt;0,H71&lt;0),"НЕРАВНЕНИЕ !"," ")</f>
        <v> </v>
      </c>
      <c r="I68" s="76"/>
      <c r="J68" s="93" t="str">
        <f>+IF(+OR(J69&lt;0,J70&lt;0,J71&lt;0),"НЕРАВНЕНИЕ !"," ")</f>
        <v> </v>
      </c>
      <c r="K68" s="94" t="str">
        <f>+IF(+OR(K69&lt;0,K70&lt;0,K71&lt;0),"НЕРАВНЕНИЕ !"," ")</f>
        <v> </v>
      </c>
      <c r="L68" s="76"/>
      <c r="M68" s="93" t="str">
        <f>+IF(+OR(M69&lt;0,M70&lt;0,M71&lt;0),"НЕРАВНЕНИЕ !"," ")</f>
        <v> </v>
      </c>
      <c r="N68" s="94" t="str">
        <f>+IF(+OR(N69&lt;0,N70&lt;0,N71&lt;0),"НЕРАВНЕНИЕ !"," ")</f>
        <v> </v>
      </c>
      <c r="O68" s="147"/>
      <c r="P68" s="1"/>
      <c r="Q68" s="1"/>
    </row>
    <row r="69" spans="1:17" ht="15">
      <c r="A69" s="21" t="s">
        <v>48</v>
      </c>
      <c r="B69" s="27">
        <v>511</v>
      </c>
      <c r="C69" s="76"/>
      <c r="D69" s="95">
        <f>+'[2]BALANCE-SHEET-2021-leva'!D69/1000+IF(+'[2]Rounding'!$C$54=$B69,+'[2]Rounding'!D$54,0)+IF(+'[2]Rounding'!$C$55=$B69,+'[2]Rounding'!D$55,0)</f>
        <v>0</v>
      </c>
      <c r="E69" s="96">
        <f>+'[2]BALANCE-SHEET-2021-leva'!E69/1000+IF(+'[2]Rounding'!$C$54=$B69,+'[2]Rounding'!E$54,0)+IF(+'[2]Rounding'!$C$55=$B69,+'[2]Rounding'!E$55,0)</f>
        <v>0</v>
      </c>
      <c r="F69" s="76"/>
      <c r="G69" s="95">
        <f>+'[2]BALANCE-SHEET-2021-leva'!G69/1000+IF(+'[2]Rounding'!$G$54=$B69,+'[2]Rounding'!H$54,0)+IF(+'[2]Rounding'!$G$55=$B69,+'[2]Rounding'!H$55,0)</f>
        <v>0</v>
      </c>
      <c r="H69" s="96">
        <f>+'[2]BALANCE-SHEET-2021-leva'!H69/1000+IF(+'[2]Rounding'!$G$54=$B69,+'[2]Rounding'!I$54,0)+IF(+'[2]Rounding'!$G$55=$B69,+'[2]Rounding'!I$55,0)</f>
        <v>0</v>
      </c>
      <c r="I69" s="76"/>
      <c r="J69" s="95">
        <f>+'[2]BALANCE-SHEET-2021-leva'!J69/1000+IF(+'[2]Rounding'!$K$54=$B69,+'[2]Rounding'!L$54,0)+IF(+'[2]Rounding'!$K$55=$B69,+'[2]Rounding'!L$55,0)</f>
        <v>0</v>
      </c>
      <c r="K69" s="96">
        <f>+'[2]BALANCE-SHEET-2021-leva'!K69/1000+IF(+'[2]Rounding'!$K$54=$B69,+'[2]Rounding'!M$54,0)+IF(+'[2]Rounding'!$K$55=$B69,+'[2]Rounding'!M$55,0)</f>
        <v>0</v>
      </c>
      <c r="L69" s="76"/>
      <c r="M69" s="95">
        <f>+D69+G69+J69+IF(+'[2]Rounding'!$O$54=$B69,+'[2]Rounding'!P$54,0)+IF(+'[2]Rounding'!$O$55=$B69,+'[2]Rounding'!P$55,0)</f>
        <v>0</v>
      </c>
      <c r="N69" s="96">
        <f>+E69+H69+K69+IF(+'[2]Rounding'!$O$54=$B69,+'[2]Rounding'!Q$54,0)+IF(+'[2]Rounding'!$O$55=$B69,+'[2]Rounding'!Q$55,0)</f>
        <v>0</v>
      </c>
      <c r="O69" s="147"/>
      <c r="P69" s="1"/>
      <c r="Q69" s="1"/>
    </row>
    <row r="70" spans="1:17" ht="15">
      <c r="A70" s="21" t="s">
        <v>49</v>
      </c>
      <c r="B70" s="27">
        <v>512</v>
      </c>
      <c r="C70" s="76"/>
      <c r="D70" s="95">
        <f>+'[2]BALANCE-SHEET-2021-leva'!D70/1000+IF(+'[2]Rounding'!$C$54=$B70,+'[2]Rounding'!D$54,0)+IF(+'[2]Rounding'!$C$55=$B70,+'[2]Rounding'!D$55,0)</f>
        <v>0</v>
      </c>
      <c r="E70" s="96">
        <f>+'[2]BALANCE-SHEET-2021-leva'!E70/1000+IF(+'[2]Rounding'!$C$54=$B70,+'[2]Rounding'!E$54,0)+IF(+'[2]Rounding'!$C$55=$B70,+'[2]Rounding'!E$55,0)</f>
        <v>0</v>
      </c>
      <c r="F70" s="76"/>
      <c r="G70" s="95">
        <f>+'[2]BALANCE-SHEET-2021-leva'!G70/1000+IF(+'[2]Rounding'!$G$54=$B70,+'[2]Rounding'!H$54,0)+IF(+'[2]Rounding'!$G$55=$B70,+'[2]Rounding'!H$55,0)</f>
        <v>0</v>
      </c>
      <c r="H70" s="96">
        <f>+'[2]BALANCE-SHEET-2021-leva'!H70/1000+IF(+'[2]Rounding'!$G$54=$B70,+'[2]Rounding'!I$54,0)+IF(+'[2]Rounding'!$G$55=$B70,+'[2]Rounding'!I$55,0)</f>
        <v>0</v>
      </c>
      <c r="I70" s="76"/>
      <c r="J70" s="95">
        <f>+'[2]BALANCE-SHEET-2021-leva'!J70/1000+IF(+'[2]Rounding'!$K$54=$B70,+'[2]Rounding'!L$54,0)+IF(+'[2]Rounding'!$K$55=$B70,+'[2]Rounding'!L$55,0)</f>
        <v>0</v>
      </c>
      <c r="K70" s="96">
        <f>+'[2]BALANCE-SHEET-2021-leva'!K70/1000+IF(+'[2]Rounding'!$K$54=$B70,+'[2]Rounding'!M$54,0)+IF(+'[2]Rounding'!$K$55=$B70,+'[2]Rounding'!M$55,0)</f>
        <v>0</v>
      </c>
      <c r="L70" s="76"/>
      <c r="M70" s="95">
        <f>+D70+G70+J70+IF(+'[2]Rounding'!$O$54=$B70,+'[2]Rounding'!P$54,0)+IF(+'[2]Rounding'!$O$55=$B70,+'[2]Rounding'!P$55,0)</f>
        <v>0</v>
      </c>
      <c r="N70" s="96">
        <f>+E70+H70+K70+IF(+'[2]Rounding'!$O$54=$B70,+'[2]Rounding'!Q$54,0)+IF(+'[2]Rounding'!$O$55=$B70,+'[2]Rounding'!Q$55,0)</f>
        <v>0</v>
      </c>
      <c r="O70" s="147"/>
      <c r="P70" s="1"/>
      <c r="Q70" s="1"/>
    </row>
    <row r="71" spans="1:17" ht="15">
      <c r="A71" s="23" t="s">
        <v>96</v>
      </c>
      <c r="B71" s="28">
        <v>513</v>
      </c>
      <c r="C71" s="76"/>
      <c r="D71" s="97">
        <f>+'[2]BALANCE-SHEET-2021-leva'!D71/1000+IF(+'[2]Rounding'!$C$54=$B71,+'[2]Rounding'!D$54,0)+IF(+'[2]Rounding'!$C$55=$B71,+'[2]Rounding'!D$55,0)</f>
        <v>0</v>
      </c>
      <c r="E71" s="98">
        <f>+'[2]BALANCE-SHEET-2021-leva'!E71/1000+IF(+'[2]Rounding'!$C$54=$B71,+'[2]Rounding'!E$54,0)+IF(+'[2]Rounding'!$C$55=$B71,+'[2]Rounding'!E$55,0)</f>
        <v>0</v>
      </c>
      <c r="F71" s="76"/>
      <c r="G71" s="97">
        <f>+'[2]BALANCE-SHEET-2021-leva'!G71/1000+IF(+'[2]Rounding'!$G$54=$B71,+'[2]Rounding'!H$54,0)+IF(+'[2]Rounding'!$G$55=$B71,+'[2]Rounding'!H$55,0)</f>
        <v>0</v>
      </c>
      <c r="H71" s="98">
        <f>+'[2]BALANCE-SHEET-2021-leva'!H71/1000+IF(+'[2]Rounding'!$G$54=$B71,+'[2]Rounding'!I$54,0)+IF(+'[2]Rounding'!$G$55=$B71,+'[2]Rounding'!I$55,0)</f>
        <v>0</v>
      </c>
      <c r="I71" s="76"/>
      <c r="J71" s="97">
        <f>+'[2]BALANCE-SHEET-2021-leva'!J71/1000+IF(+'[2]Rounding'!$K$54=$B71,+'[2]Rounding'!L$54,0)+IF(+'[2]Rounding'!$K$55=$B71,+'[2]Rounding'!L$55,0)</f>
        <v>0</v>
      </c>
      <c r="K71" s="98">
        <f>+'[2]BALANCE-SHEET-2021-leva'!K71/1000+IF(+'[2]Rounding'!$K$54=$B71,+'[2]Rounding'!M$54,0)+IF(+'[2]Rounding'!$K$55=$B71,+'[2]Rounding'!M$55,0)</f>
        <v>0</v>
      </c>
      <c r="L71" s="76"/>
      <c r="M71" s="97">
        <f>+D71+G71+J71+IF(+'[2]Rounding'!$O$54=$B71,+'[2]Rounding'!P$54,0)+IF(+'[2]Rounding'!$O$55=$B71,+'[2]Rounding'!P$55,0)</f>
        <v>0</v>
      </c>
      <c r="N71" s="98">
        <f>+E71+H71+K71+IF(+'[2]Rounding'!$O$54=$B71,+'[2]Rounding'!Q$54,0)+IF(+'[2]Rounding'!$O$55=$B71,+'[2]Rounding'!Q$55,0)</f>
        <v>0</v>
      </c>
      <c r="O71" s="147"/>
      <c r="P71" s="1"/>
      <c r="Q71" s="1"/>
    </row>
    <row r="72" spans="1:17" ht="15">
      <c r="A72" s="7" t="s">
        <v>13</v>
      </c>
      <c r="B72" s="14">
        <v>510</v>
      </c>
      <c r="C72" s="76"/>
      <c r="D72" s="99">
        <f>+D69+D70+D71</f>
        <v>0</v>
      </c>
      <c r="E72" s="100">
        <f>+E69+E70+E71</f>
        <v>0</v>
      </c>
      <c r="F72" s="76"/>
      <c r="G72" s="99">
        <f>+G69+G70+G71</f>
        <v>0</v>
      </c>
      <c r="H72" s="100">
        <f>+H69+H70+H71</f>
        <v>0</v>
      </c>
      <c r="I72" s="76"/>
      <c r="J72" s="99">
        <f>+J69+J70+J71</f>
        <v>0</v>
      </c>
      <c r="K72" s="100">
        <f>+K69+K70+K71</f>
        <v>0</v>
      </c>
      <c r="L72" s="76"/>
      <c r="M72" s="99">
        <f>+M69+M70+M71</f>
        <v>0</v>
      </c>
      <c r="N72" s="100">
        <f>+N69+N70+N71</f>
        <v>0</v>
      </c>
      <c r="O72" s="147"/>
      <c r="P72" s="1"/>
      <c r="Q72" s="1"/>
    </row>
    <row r="73" spans="1:17" ht="15">
      <c r="A73" s="4" t="s">
        <v>50</v>
      </c>
      <c r="B73" s="15"/>
      <c r="C73" s="76"/>
      <c r="D73" s="93" t="str">
        <f>+IF(+OR(D74&lt;0,D75&lt;0,D76&lt;0,D77&lt;0,D78&lt;0,D79&lt;0,D80&lt;0,D81&lt;0,D82&lt;0),"НЕРАВНЕНИЕ !"," ")</f>
        <v> </v>
      </c>
      <c r="E73" s="94" t="str">
        <f>+IF(+OR(E74&lt;0,E75&lt;0,E76&lt;0,E77&lt;0,E78&lt;0,E79&lt;0,E80&lt;0,E81&lt;0,E82&lt;0),"НЕРАВНЕНИЕ !"," ")</f>
        <v> </v>
      </c>
      <c r="F73" s="76"/>
      <c r="G73" s="93" t="str">
        <f>+IF(+OR(G74&lt;0,G75&lt;0,G76&lt;0,G77&lt;0,G78&lt;0,G79&lt;0,G80&lt;0,G81&lt;0,G82&lt;0),"НЕРАВНЕНИЕ !"," ")</f>
        <v> </v>
      </c>
      <c r="H73" s="94" t="str">
        <f>+IF(+OR(H74&lt;0,H75&lt;0,H76&lt;0,H77&lt;0,H78&lt;0,H79&lt;0,H80&lt;0,H81&lt;0,H82&lt;0),"НЕРАВНЕНИЕ !"," ")</f>
        <v> </v>
      </c>
      <c r="I73" s="76"/>
      <c r="J73" s="93" t="str">
        <f>+IF(+OR(J74&lt;0,J75&lt;0,J76&lt;0,J77&lt;0,J78&lt;0,J79&lt;0,J80&lt;0,J81&lt;0,J82&lt;0),"НЕРАВНЕНИЕ !"," ")</f>
        <v> </v>
      </c>
      <c r="K73" s="94" t="str">
        <f>+IF(+OR(K74&lt;0,K75&lt;0,K76&lt;0,K77&lt;0,K78&lt;0,K79&lt;0,K80&lt;0,K81&lt;0,K82&lt;0),"НЕРАВНЕНИЕ !"," ")</f>
        <v> </v>
      </c>
      <c r="L73" s="76"/>
      <c r="M73" s="93" t="str">
        <f>+IF(+OR(M74&lt;0,M75&lt;0,M76&lt;0,M77&lt;0,M78&lt;0,M79&lt;0,M80&lt;0,M81&lt;0,M82&lt;0),"НЕРАВНЕНИЕ !"," ")</f>
        <v> </v>
      </c>
      <c r="N73" s="94" t="str">
        <f>+IF(+OR(N74&lt;0,N75&lt;0,N76&lt;0,N77&lt;0,N78&lt;0,N79&lt;0,N80&lt;0,N81&lt;0,N82&lt;0),"НЕРАВНЕНИЕ !"," ")</f>
        <v> </v>
      </c>
      <c r="O73" s="147"/>
      <c r="P73" s="1"/>
      <c r="Q73" s="167" t="s">
        <v>111</v>
      </c>
    </row>
    <row r="74" spans="1:17" ht="15.75">
      <c r="A74" s="21" t="s">
        <v>51</v>
      </c>
      <c r="B74" s="27">
        <v>521</v>
      </c>
      <c r="C74" s="76"/>
      <c r="D74" s="95">
        <f>+'[2]BALANCE-SHEET-2021-leva'!D74/1000+IF(+'[2]Rounding'!$C$54=$B74,+'[2]Rounding'!D$54,0)+IF(+'[2]Rounding'!$C$55=$B74,+'[2]Rounding'!D$55,0)</f>
        <v>0</v>
      </c>
      <c r="E74" s="96">
        <f>+'[2]BALANCE-SHEET-2021-leva'!E74/1000+IF(+'[2]Rounding'!$C$54=$B74,+'[2]Rounding'!E$54,0)+IF(+'[2]Rounding'!$C$55=$B74,+'[2]Rounding'!E$55,0)</f>
        <v>0</v>
      </c>
      <c r="F74" s="76"/>
      <c r="G74" s="95">
        <f>+'[2]BALANCE-SHEET-2021-leva'!G74/1000+IF(+'[2]Rounding'!$G$54=$B74,+'[2]Rounding'!H$54,0)+IF(+'[2]Rounding'!$G$55=$B74,+'[2]Rounding'!H$55,0)</f>
        <v>0</v>
      </c>
      <c r="H74" s="96">
        <f>+'[2]BALANCE-SHEET-2021-leva'!H74/1000+IF(+'[2]Rounding'!$G$54=$B74,+'[2]Rounding'!I$54,0)+IF(+'[2]Rounding'!$G$55=$B74,+'[2]Rounding'!I$55,0)</f>
        <v>0</v>
      </c>
      <c r="I74" s="76"/>
      <c r="J74" s="95">
        <f>+'[2]BALANCE-SHEET-2021-leva'!J74/1000+IF(+'[2]Rounding'!$K$54=$B74,+'[2]Rounding'!L$54,0)+IF(+'[2]Rounding'!$K$55=$B74,+'[2]Rounding'!L$55,0)</f>
        <v>0</v>
      </c>
      <c r="K74" s="96">
        <f>+'[2]BALANCE-SHEET-2021-leva'!K74/1000+IF(+'[2]Rounding'!$K$54=$B74,+'[2]Rounding'!M$54,0)+IF(+'[2]Rounding'!$K$55=$B74,+'[2]Rounding'!M$55,0)</f>
        <v>0</v>
      </c>
      <c r="L74" s="76"/>
      <c r="M74" s="95">
        <f>+D74+G74+J74+IF(+'[2]Rounding'!$O$54=$B74,+'[2]Rounding'!P$54,0)+IF(+'[2]Rounding'!$O$55=$B74,+'[2]Rounding'!P$55,0)</f>
        <v>0</v>
      </c>
      <c r="N74" s="96">
        <f>+E74+H74+K74+IF(+'[2]Rounding'!$O$54=$B74,+'[2]Rounding'!Q$54,0)+IF(+'[2]Rounding'!$O$55=$B74,+'[2]Rounding'!Q$55,0)</f>
        <v>0</v>
      </c>
      <c r="O74" s="147"/>
      <c r="P74" s="168" t="s">
        <v>102</v>
      </c>
      <c r="Q74" s="169" t="str">
        <f>+Q$35</f>
        <v>'Intra-Balances' </v>
      </c>
    </row>
    <row r="75" spans="1:17" ht="15.75">
      <c r="A75" s="21" t="s">
        <v>52</v>
      </c>
      <c r="B75" s="27">
        <f aca="true" t="shared" si="0" ref="B75:B82">1+B74</f>
        <v>522</v>
      </c>
      <c r="C75" s="76"/>
      <c r="D75" s="95">
        <f>+'[2]BALANCE-SHEET-2021-leva'!D75/1000+IF(+'[2]Rounding'!$C$54=$B75,+'[2]Rounding'!D$54,0)+IF(+'[2]Rounding'!$C$55=$B75,+'[2]Rounding'!D$55,0)</f>
        <v>299.56568</v>
      </c>
      <c r="E75" s="96">
        <f>+'[2]BALANCE-SHEET-2021-leva'!E75/1000+IF(+'[2]Rounding'!$C$54=$B75,+'[2]Rounding'!E$54,0)+IF(+'[2]Rounding'!$C$55=$B75,+'[2]Rounding'!E$55,0)</f>
        <v>150.95865</v>
      </c>
      <c r="F75" s="76"/>
      <c r="G75" s="95">
        <f>+'[2]BALANCE-SHEET-2021-leva'!G75/1000+IF(+'[2]Rounding'!$G$54=$B75,+'[2]Rounding'!H$54,0)+IF(+'[2]Rounding'!$G$55=$B75,+'[2]Rounding'!H$55,0)</f>
        <v>0</v>
      </c>
      <c r="H75" s="96">
        <f>+'[2]BALANCE-SHEET-2021-leva'!H75/1000+IF(+'[2]Rounding'!$G$54=$B75,+'[2]Rounding'!I$54,0)+IF(+'[2]Rounding'!$G$55=$B75,+'[2]Rounding'!I$55,0)</f>
        <v>0</v>
      </c>
      <c r="I75" s="76"/>
      <c r="J75" s="95">
        <f>+'[2]BALANCE-SHEET-2021-leva'!J75/1000+IF(+'[2]Rounding'!$K$54=$B75,+'[2]Rounding'!L$54,0)+IF(+'[2]Rounding'!$K$55=$B75,+'[2]Rounding'!L$55,0)</f>
        <v>0</v>
      </c>
      <c r="K75" s="96">
        <f>+'[2]BALANCE-SHEET-2021-leva'!K75/1000+IF(+'[2]Rounding'!$K$54=$B75,+'[2]Rounding'!M$54,0)+IF(+'[2]Rounding'!$K$55=$B75,+'[2]Rounding'!M$55,0)</f>
        <v>0</v>
      </c>
      <c r="L75" s="76"/>
      <c r="M75" s="95">
        <f>+D75+G75+J75+IF(+'[2]Rounding'!$O$54=$B75,+'[2]Rounding'!P$54,0)+IF(+'[2]Rounding'!$O$55=$B75,+'[2]Rounding'!P$55,0)</f>
        <v>299.56568</v>
      </c>
      <c r="N75" s="96">
        <f>+E75+H75+K75+IF(+'[2]Rounding'!$O$54=$B75,+'[2]Rounding'!Q$54,0)+IF(+'[2]Rounding'!$O$55=$B75,+'[2]Rounding'!Q$55,0)</f>
        <v>150.95865</v>
      </c>
      <c r="O75" s="147"/>
      <c r="P75" s="170" t="s">
        <v>103</v>
      </c>
      <c r="Q75" s="171" t="str">
        <f>+Q$36</f>
        <v>'Municipal-Bal'</v>
      </c>
    </row>
    <row r="76" spans="1:17" ht="15">
      <c r="A76" s="21" t="s">
        <v>53</v>
      </c>
      <c r="B76" s="27">
        <f t="shared" si="0"/>
        <v>523</v>
      </c>
      <c r="C76" s="76"/>
      <c r="D76" s="95">
        <f>+'[2]BALANCE-SHEET-2021-leva'!D76/1000+IF(+'[2]Rounding'!$C$54=$B76,+'[2]Rounding'!D$54,0)+IF(+'[2]Rounding'!$C$55=$B76,+'[2]Rounding'!D$55,0)</f>
        <v>0</v>
      </c>
      <c r="E76" s="96">
        <f>+'[2]BALANCE-SHEET-2021-leva'!E76/1000+IF(+'[2]Rounding'!$C$54=$B76,+'[2]Rounding'!E$54,0)+IF(+'[2]Rounding'!$C$55=$B76,+'[2]Rounding'!E$55,0)</f>
        <v>0</v>
      </c>
      <c r="F76" s="76"/>
      <c r="G76" s="95">
        <f>+'[2]BALANCE-SHEET-2021-leva'!G76/1000+IF(+'[2]Rounding'!$G$54=$B76,+'[2]Rounding'!H$54,0)+IF(+'[2]Rounding'!$G$55=$B76,+'[2]Rounding'!H$55,0)</f>
        <v>0</v>
      </c>
      <c r="H76" s="96">
        <f>+'[2]BALANCE-SHEET-2021-leva'!H76/1000+IF(+'[2]Rounding'!$G$54=$B76,+'[2]Rounding'!I$54,0)+IF(+'[2]Rounding'!$G$55=$B76,+'[2]Rounding'!I$55,0)</f>
        <v>0</v>
      </c>
      <c r="I76" s="76"/>
      <c r="J76" s="95">
        <f>+'[2]BALANCE-SHEET-2021-leva'!J76/1000+IF(+'[2]Rounding'!$K$54=$B76,+'[2]Rounding'!L$54,0)+IF(+'[2]Rounding'!$K$55=$B76,+'[2]Rounding'!L$55,0)</f>
        <v>0</v>
      </c>
      <c r="K76" s="96">
        <f>+'[2]BALANCE-SHEET-2021-leva'!K76/1000+IF(+'[2]Rounding'!$K$54=$B76,+'[2]Rounding'!M$54,0)+IF(+'[2]Rounding'!$K$55=$B76,+'[2]Rounding'!M$55,0)</f>
        <v>0</v>
      </c>
      <c r="L76" s="76"/>
      <c r="M76" s="95">
        <f>+D76+G76+J76+IF(+'[2]Rounding'!$O$54=$B76,+'[2]Rounding'!P$54,0)+IF(+'[2]Rounding'!$O$55=$B76,+'[2]Rounding'!P$55,0)</f>
        <v>0</v>
      </c>
      <c r="N76" s="96">
        <f>+E76+H76+K76+IF(+'[2]Rounding'!$O$54=$B76,+'[2]Rounding'!Q$54,0)+IF(+'[2]Rounding'!$O$55=$B76,+'[2]Rounding'!Q$55,0)</f>
        <v>0</v>
      </c>
      <c r="O76" s="147"/>
      <c r="P76" s="191" t="s">
        <v>112</v>
      </c>
      <c r="Q76" s="192" t="s">
        <v>113</v>
      </c>
    </row>
    <row r="77" spans="1:17" ht="15">
      <c r="A77" s="21" t="s">
        <v>54</v>
      </c>
      <c r="B77" s="27">
        <f t="shared" si="0"/>
        <v>524</v>
      </c>
      <c r="C77" s="76"/>
      <c r="D77" s="95">
        <f>+'[2]BALANCE-SHEET-2021-leva'!D77/1000+IF(+'[2]Rounding'!$C$54=$B77,+'[2]Rounding'!D$54,0)+IF(+'[2]Rounding'!$C$55=$B77,+'[2]Rounding'!D$55,0)</f>
        <v>0</v>
      </c>
      <c r="E77" s="96">
        <f>+'[2]BALANCE-SHEET-2021-leva'!E77/1000+IF(+'[2]Rounding'!$C$54=$B77,+'[2]Rounding'!E$54,0)+IF(+'[2]Rounding'!$C$55=$B77,+'[2]Rounding'!E$55,0)</f>
        <v>0</v>
      </c>
      <c r="F77" s="76"/>
      <c r="G77" s="95">
        <f>+'[2]BALANCE-SHEET-2021-leva'!G77/1000+IF(+'[2]Rounding'!$G$54=$B77,+'[2]Rounding'!H$54,0)+IF(+'[2]Rounding'!$G$55=$B77,+'[2]Rounding'!H$55,0)</f>
        <v>0</v>
      </c>
      <c r="H77" s="96">
        <f>+'[2]BALANCE-SHEET-2021-leva'!H77/1000+IF(+'[2]Rounding'!$G$54=$B77,+'[2]Rounding'!I$54,0)+IF(+'[2]Rounding'!$G$55=$B77,+'[2]Rounding'!I$55,0)</f>
        <v>0</v>
      </c>
      <c r="I77" s="76"/>
      <c r="J77" s="95">
        <f>+'[2]BALANCE-SHEET-2021-leva'!J77/1000+IF(+'[2]Rounding'!$K$54=$B77,+'[2]Rounding'!L$54,0)+IF(+'[2]Rounding'!$K$55=$B77,+'[2]Rounding'!L$55,0)</f>
        <v>0</v>
      </c>
      <c r="K77" s="96">
        <f>+'[2]BALANCE-SHEET-2021-leva'!K77/1000+IF(+'[2]Rounding'!$K$54=$B77,+'[2]Rounding'!M$54,0)+IF(+'[2]Rounding'!$K$55=$B77,+'[2]Rounding'!M$55,0)</f>
        <v>0</v>
      </c>
      <c r="L77" s="76"/>
      <c r="M77" s="95">
        <f>+D77+G77+J77+IF(+'[2]Rounding'!$O$54=$B77,+'[2]Rounding'!P$54,0)+IF(+'[2]Rounding'!$O$55=$B77,+'[2]Rounding'!P$55,0)</f>
        <v>0</v>
      </c>
      <c r="N77" s="96">
        <f>+E77+H77+K77+IF(+'[2]Rounding'!$O$54=$B77,+'[2]Rounding'!Q$54,0)+IF(+'[2]Rounding'!$O$55=$B77,+'[2]Rounding'!Q$55,0)</f>
        <v>0</v>
      </c>
      <c r="O77" s="147"/>
      <c r="P77" s="193" t="s">
        <v>114</v>
      </c>
      <c r="Q77" s="194" t="s">
        <v>115</v>
      </c>
    </row>
    <row r="78" spans="1:17" ht="15">
      <c r="A78" s="21" t="s">
        <v>55</v>
      </c>
      <c r="B78" s="27">
        <f t="shared" si="0"/>
        <v>525</v>
      </c>
      <c r="C78" s="76"/>
      <c r="D78" s="123">
        <f>+'[2]BALANCE-SHEET-2021-leva'!D78/1000+IF(+'[2]Rounding'!$C$54=$B78,+'[2]Rounding'!D$54,0)+IF(+'[2]Rounding'!$C$55=$B78,+'[2]Rounding'!D$55,0)</f>
        <v>15.255030000000001</v>
      </c>
      <c r="E78" s="124">
        <f>+'[2]BALANCE-SHEET-2021-leva'!E78/1000+IF(+'[2]Rounding'!$C$54=$B78,+'[2]Rounding'!E$54,0)+IF(+'[2]Rounding'!$C$55=$B78,+'[2]Rounding'!E$55,0)</f>
        <v>13.70194</v>
      </c>
      <c r="F78" s="76"/>
      <c r="G78" s="123">
        <f>+'[2]BALANCE-SHEET-2021-leva'!G78/1000+IF(+'[2]Rounding'!$G$54=$B78,+'[2]Rounding'!H$54,0)+IF(+'[2]Rounding'!$G$55=$B78,+'[2]Rounding'!H$55,0)</f>
        <v>0</v>
      </c>
      <c r="H78" s="124">
        <f>+'[2]BALANCE-SHEET-2021-leva'!H78/1000+IF(+'[2]Rounding'!$G$54=$B78,+'[2]Rounding'!I$54,0)+IF(+'[2]Rounding'!$G$55=$B78,+'[2]Rounding'!I$55,0)</f>
        <v>0</v>
      </c>
      <c r="I78" s="76"/>
      <c r="J78" s="123">
        <f>+'[2]BALANCE-SHEET-2021-leva'!J78/1000+IF(+'[2]Rounding'!$K$54=$B78,+'[2]Rounding'!L$54,0)+IF(+'[2]Rounding'!$K$55=$B78,+'[2]Rounding'!L$55,0)</f>
        <v>0</v>
      </c>
      <c r="K78" s="124">
        <f>+'[2]BALANCE-SHEET-2021-leva'!K78/1000+IF(+'[2]Rounding'!$K$54=$B78,+'[2]Rounding'!M$54,0)+IF(+'[2]Rounding'!$K$55=$B78,+'[2]Rounding'!M$55,0)</f>
        <v>0</v>
      </c>
      <c r="L78" s="76"/>
      <c r="M78" s="123">
        <f>+D78+G78+J78+IF(+'[2]Rounding'!$O$54=$B78,+'[2]Rounding'!P$54,0)+IF(+'[2]Rounding'!$O$55=$B78,+'[2]Rounding'!P$55,0)-P78</f>
        <v>15.255030000000001</v>
      </c>
      <c r="N78" s="124">
        <f>+E78+H78+K78+IF(+'[2]Rounding'!$O$54=$B78,+'[2]Rounding'!Q$54,0)+IF(+'[2]Rounding'!$O$55=$B78,+'[2]Rounding'!Q$55,0)-Q78</f>
        <v>13.70194</v>
      </c>
      <c r="O78" s="147"/>
      <c r="P78" s="195">
        <f>+'[1]BALANCE-SHEET-2021-leva'!P78/1000</f>
        <v>0</v>
      </c>
      <c r="Q78" s="196">
        <f>+'[1]BALANCE-SHEET-2021-leva'!Q78/1000</f>
        <v>0</v>
      </c>
    </row>
    <row r="79" spans="1:17" ht="15">
      <c r="A79" s="42" t="s">
        <v>56</v>
      </c>
      <c r="B79" s="27">
        <f t="shared" si="0"/>
        <v>526</v>
      </c>
      <c r="C79" s="76"/>
      <c r="D79" s="95">
        <f>+'[2]BALANCE-SHEET-2021-leva'!D79/1000+IF(+'[2]Rounding'!$C$54=$B79,+'[2]Rounding'!D$54,0)+IF(+'[2]Rounding'!$C$55=$B79,+'[2]Rounding'!D$55,0)</f>
        <v>0</v>
      </c>
      <c r="E79" s="96">
        <f>+'[2]BALANCE-SHEET-2021-leva'!E79/1000+IF(+'[2]Rounding'!$C$54=$B79,+'[2]Rounding'!E$54,0)+IF(+'[2]Rounding'!$C$55=$B79,+'[2]Rounding'!E$55,0)</f>
        <v>0</v>
      </c>
      <c r="F79" s="76"/>
      <c r="G79" s="95">
        <f>+'[2]BALANCE-SHEET-2021-leva'!G79/1000+IF(+'[2]Rounding'!$G$54=$B79,+'[2]Rounding'!H$54,0)+IF(+'[2]Rounding'!$G$55=$B79,+'[2]Rounding'!H$55,0)</f>
        <v>0</v>
      </c>
      <c r="H79" s="96">
        <f>+'[2]BALANCE-SHEET-2021-leva'!H79/1000+IF(+'[2]Rounding'!$G$54=$B79,+'[2]Rounding'!I$54,0)+IF(+'[2]Rounding'!$G$55=$B79,+'[2]Rounding'!I$55,0)</f>
        <v>0</v>
      </c>
      <c r="I79" s="76"/>
      <c r="J79" s="95">
        <f>+'[2]BALANCE-SHEET-2021-leva'!J79/1000+IF(+'[2]Rounding'!$K$54=$B79,+'[2]Rounding'!L$54,0)+IF(+'[2]Rounding'!$K$55=$B79,+'[2]Rounding'!L$55,0)</f>
        <v>0</v>
      </c>
      <c r="K79" s="96">
        <f>+'[2]BALANCE-SHEET-2021-leva'!K79/1000+IF(+'[2]Rounding'!$K$54=$B79,+'[2]Rounding'!M$54,0)+IF(+'[2]Rounding'!$K$55=$B79,+'[2]Rounding'!M$55,0)</f>
        <v>0</v>
      </c>
      <c r="L79" s="76"/>
      <c r="M79" s="95">
        <f>+D79+G79+J79+IF(+'[2]Rounding'!$O$54=$B79,+'[2]Rounding'!P$54,0)+IF(+'[2]Rounding'!$O$55=$B79,+'[2]Rounding'!P$55,0)</f>
        <v>0</v>
      </c>
      <c r="N79" s="96">
        <f>+E79+H79+K79+IF(+'[2]Rounding'!$O$54=$B79,+'[2]Rounding'!Q$54,0)+IF(+'[2]Rounding'!$O$55=$B79,+'[2]Rounding'!Q$55,0)</f>
        <v>0</v>
      </c>
      <c r="O79" s="147"/>
      <c r="P79" s="197"/>
      <c r="Q79" s="198"/>
    </row>
    <row r="80" spans="1:17" ht="15">
      <c r="A80" s="42" t="s">
        <v>57</v>
      </c>
      <c r="B80" s="27">
        <f t="shared" si="0"/>
        <v>527</v>
      </c>
      <c r="C80" s="76"/>
      <c r="D80" s="95">
        <f>+'[2]BALANCE-SHEET-2021-leva'!D80/1000+IF(+'[2]Rounding'!$C$54=$B80,+'[2]Rounding'!D$54,0)+IF(+'[2]Rounding'!$C$55=$B80,+'[2]Rounding'!D$55,0)</f>
        <v>0</v>
      </c>
      <c r="E80" s="96">
        <f>+'[2]BALANCE-SHEET-2021-leva'!E80/1000+IF(+'[2]Rounding'!$C$54=$B80,+'[2]Rounding'!E$54,0)+IF(+'[2]Rounding'!$C$55=$B80,+'[2]Rounding'!E$55,0)</f>
        <v>0</v>
      </c>
      <c r="F80" s="76"/>
      <c r="G80" s="95">
        <f>+'[2]BALANCE-SHEET-2021-leva'!G80/1000+IF(+'[2]Rounding'!$G$54=$B80,+'[2]Rounding'!H$54,0)+IF(+'[2]Rounding'!$G$55=$B80,+'[2]Rounding'!H$55,0)</f>
        <v>1E-05</v>
      </c>
      <c r="H80" s="96">
        <f>+'[2]BALANCE-SHEET-2021-leva'!H80/1000+IF(+'[2]Rounding'!$G$54=$B80,+'[2]Rounding'!I$54,0)+IF(+'[2]Rounding'!$G$55=$B80,+'[2]Rounding'!I$55,0)</f>
        <v>0</v>
      </c>
      <c r="I80" s="76"/>
      <c r="J80" s="95">
        <f>+'[2]BALANCE-SHEET-2021-leva'!J80/1000+IF(+'[2]Rounding'!$K$54=$B80,+'[2]Rounding'!L$54,0)+IF(+'[2]Rounding'!$K$55=$B80,+'[2]Rounding'!L$55,0)</f>
        <v>0</v>
      </c>
      <c r="K80" s="96">
        <f>+'[2]BALANCE-SHEET-2021-leva'!K80/1000+IF(+'[2]Rounding'!$K$54=$B80,+'[2]Rounding'!M$54,0)+IF(+'[2]Rounding'!$K$55=$B80,+'[2]Rounding'!M$55,0)</f>
        <v>0</v>
      </c>
      <c r="L80" s="76"/>
      <c r="M80" s="95">
        <f>+D80+G80+J80+IF(+'[2]Rounding'!$O$54=$B80,+'[2]Rounding'!P$54,0)+IF(+'[2]Rounding'!$O$55=$B80,+'[2]Rounding'!P$55,0)</f>
        <v>1E-05</v>
      </c>
      <c r="N80" s="96">
        <f>+E80+H80+K80+IF(+'[2]Rounding'!$O$54=$B80,+'[2]Rounding'!Q$54,0)+IF(+'[2]Rounding'!$O$55=$B80,+'[2]Rounding'!Q$55,0)</f>
        <v>0</v>
      </c>
      <c r="O80" s="147"/>
      <c r="P80" s="197"/>
      <c r="Q80" s="198"/>
    </row>
    <row r="81" spans="1:17" ht="15">
      <c r="A81" s="42" t="s">
        <v>91</v>
      </c>
      <c r="B81" s="27">
        <f t="shared" si="0"/>
        <v>528</v>
      </c>
      <c r="C81" s="76"/>
      <c r="D81" s="95">
        <f>+'[2]BALANCE-SHEET-2021-leva'!D81/1000+IF(+'[2]Rounding'!$C$54=$B81,+'[2]Rounding'!D$54,0)+IF(+'[2]Rounding'!$C$55=$B81,+'[2]Rounding'!D$55,0)</f>
        <v>0</v>
      </c>
      <c r="E81" s="96">
        <f>+'[2]BALANCE-SHEET-2021-leva'!E81/1000+IF(+'[2]Rounding'!$C$54=$B81,+'[2]Rounding'!E$54,0)+IF(+'[2]Rounding'!$C$55=$B81,+'[2]Rounding'!E$55,0)</f>
        <v>0</v>
      </c>
      <c r="F81" s="76"/>
      <c r="G81" s="95">
        <f>+'[2]BALANCE-SHEET-2021-leva'!G81/1000+IF(+'[2]Rounding'!$G$54=$B81,+'[2]Rounding'!H$54,0)+IF(+'[2]Rounding'!$G$55=$B81,+'[2]Rounding'!H$55,0)</f>
        <v>0</v>
      </c>
      <c r="H81" s="96">
        <f>+'[2]BALANCE-SHEET-2021-leva'!H81/1000+IF(+'[2]Rounding'!$G$54=$B81,+'[2]Rounding'!I$54,0)+IF(+'[2]Rounding'!$G$55=$B81,+'[2]Rounding'!I$55,0)</f>
        <v>0</v>
      </c>
      <c r="I81" s="76"/>
      <c r="J81" s="95">
        <f>+'[2]BALANCE-SHEET-2021-leva'!J81/1000+IF(+'[2]Rounding'!$K$54=$B81,+'[2]Rounding'!L$54,0)+IF(+'[2]Rounding'!$K$55=$B81,+'[2]Rounding'!L$55,0)</f>
        <v>0</v>
      </c>
      <c r="K81" s="96">
        <f>+'[2]BALANCE-SHEET-2021-leva'!K81/1000+IF(+'[2]Rounding'!$K$54=$B81,+'[2]Rounding'!M$54,0)+IF(+'[2]Rounding'!$K$55=$B81,+'[2]Rounding'!M$55,0)</f>
        <v>0</v>
      </c>
      <c r="L81" s="76"/>
      <c r="M81" s="95">
        <f>+D81+G81+J81+IF(+'[2]Rounding'!$O$54=$B81,+'[2]Rounding'!P$54,0)+IF(+'[2]Rounding'!$O$55=$B81,+'[2]Rounding'!P$55,0)-P81</f>
        <v>0</v>
      </c>
      <c r="N81" s="96">
        <f>+E81+H81+K81+IF(+'[2]Rounding'!$O$54=$B81,+'[2]Rounding'!Q$54,0)+IF(+'[2]Rounding'!$O$55=$B81,+'[2]Rounding'!Q$55,0)-Q81</f>
        <v>0</v>
      </c>
      <c r="O81" s="147"/>
      <c r="P81" s="199">
        <f>+'[1]BALANCE-SHEET-2021-leva'!P81/1000</f>
        <v>0</v>
      </c>
      <c r="Q81" s="200">
        <f>+'[1]BALANCE-SHEET-2021-leva'!Q81/1000</f>
        <v>0</v>
      </c>
    </row>
    <row r="82" spans="1:17" ht="15">
      <c r="A82" s="23" t="s">
        <v>58</v>
      </c>
      <c r="B82" s="28">
        <f t="shared" si="0"/>
        <v>529</v>
      </c>
      <c r="C82" s="76"/>
      <c r="D82" s="97">
        <f>+'[2]BALANCE-SHEET-2021-leva'!D82/1000+IF(+'[2]Rounding'!$C$54=$B82,+'[2]Rounding'!D$54,0)+IF(+'[2]Rounding'!$C$55=$B82,+'[2]Rounding'!D$55,0)</f>
        <v>1174.60099</v>
      </c>
      <c r="E82" s="98">
        <f>+'[2]BALANCE-SHEET-2021-leva'!E82/1000+IF(+'[2]Rounding'!$C$54=$B82,+'[2]Rounding'!E$54,0)+IF(+'[2]Rounding'!$C$55=$B82,+'[2]Rounding'!E$55,0)</f>
        <v>772.3314499999999</v>
      </c>
      <c r="F82" s="76"/>
      <c r="G82" s="97">
        <f>+'[2]BALANCE-SHEET-2021-leva'!G82/1000+IF(+'[2]Rounding'!$G$54=$B82,+'[2]Rounding'!H$54,0)+IF(+'[2]Rounding'!$G$55=$B82,+'[2]Rounding'!H$55,0)</f>
        <v>0</v>
      </c>
      <c r="H82" s="98">
        <f>+'[2]BALANCE-SHEET-2021-leva'!H82/1000+IF(+'[2]Rounding'!$G$54=$B82,+'[2]Rounding'!I$54,0)+IF(+'[2]Rounding'!$G$55=$B82,+'[2]Rounding'!I$55,0)</f>
        <v>0</v>
      </c>
      <c r="I82" s="76"/>
      <c r="J82" s="97">
        <f>+'[2]BALANCE-SHEET-2021-leva'!J82/1000+IF(+'[2]Rounding'!$K$54=$B82,+'[2]Rounding'!L$54,0)+IF(+'[2]Rounding'!$K$55=$B82,+'[2]Rounding'!L$55,0)</f>
        <v>126.33623</v>
      </c>
      <c r="K82" s="98">
        <f>+'[2]BALANCE-SHEET-2021-leva'!K82/1000+IF(+'[2]Rounding'!$K$54=$B82,+'[2]Rounding'!M$54,0)+IF(+'[2]Rounding'!$K$55=$B82,+'[2]Rounding'!M$55,0)</f>
        <v>81.1749</v>
      </c>
      <c r="L82" s="76"/>
      <c r="M82" s="97">
        <f>+D82+G82+J82+IF(+'[2]Rounding'!$O$54=$B82,+'[2]Rounding'!P$54,0)+IF(+'[2]Rounding'!$O$55=$B82,+'[2]Rounding'!P$55,0)-P82</f>
        <v>211.54219999999987</v>
      </c>
      <c r="N82" s="98">
        <f>+E82+H82+K82+IF(+'[2]Rounding'!$O$54=$B82,+'[2]Rounding'!Q$54,0)+IF(+'[2]Rounding'!$O$55=$B82,+'[2]Rounding'!Q$55,0)-Q82</f>
        <v>81.17489999999998</v>
      </c>
      <c r="O82" s="147"/>
      <c r="P82" s="180">
        <f>+'[1]BALANCE-SHEET-2021-leva'!P82/1000</f>
        <v>1089.39502</v>
      </c>
      <c r="Q82" s="181">
        <f>+'[1]BALANCE-SHEET-2021-leva'!Q82/1000</f>
        <v>772.3314499999999</v>
      </c>
    </row>
    <row r="83" spans="1:17" ht="15">
      <c r="A83" s="7" t="s">
        <v>28</v>
      </c>
      <c r="B83" s="16">
        <v>520</v>
      </c>
      <c r="C83" s="76"/>
      <c r="D83" s="125">
        <f>+SUM(D74:D82)</f>
        <v>1489.4216999999999</v>
      </c>
      <c r="E83" s="126">
        <f>+SUM(E74:E82)</f>
        <v>936.9920399999999</v>
      </c>
      <c r="F83" s="76"/>
      <c r="G83" s="125">
        <f>+SUM(G74:G82)</f>
        <v>1E-05</v>
      </c>
      <c r="H83" s="126">
        <f>+SUM(H74:H82)</f>
        <v>0</v>
      </c>
      <c r="I83" s="76"/>
      <c r="J83" s="125">
        <f>+SUM(J74:J82)</f>
        <v>126.33623</v>
      </c>
      <c r="K83" s="126">
        <f>+SUM(K74:K82)</f>
        <v>81.1749</v>
      </c>
      <c r="L83" s="76"/>
      <c r="M83" s="125">
        <f>+SUM(M74:M82)</f>
        <v>526.3629199999998</v>
      </c>
      <c r="N83" s="126">
        <f>+SUM(N74:N82)</f>
        <v>245.83549</v>
      </c>
      <c r="O83" s="147"/>
      <c r="P83" s="201">
        <f>+SUM(P78:P82)</f>
        <v>1089.39502</v>
      </c>
      <c r="Q83" s="202">
        <f>+SUM(Q78:Q82)</f>
        <v>772.3314499999999</v>
      </c>
    </row>
    <row r="84" spans="1:17" ht="15">
      <c r="A84" s="41" t="s">
        <v>59</v>
      </c>
      <c r="B84" s="15"/>
      <c r="C84" s="76"/>
      <c r="D84" s="93" t="str">
        <f>+IF(+OR(D85&lt;0,D86&lt;0),"НЕРАВНЕНИЕ !"," ")</f>
        <v> </v>
      </c>
      <c r="E84" s="94" t="str">
        <f>+IF(+OR(E85&lt;0,E86&lt;0),"НЕРАВНЕНИЕ !"," ")</f>
        <v> </v>
      </c>
      <c r="F84" s="76"/>
      <c r="G84" s="93" t="str">
        <f>+IF(+OR(G85&lt;0,G86&lt;0),"НЕРАВНЕНИЕ !"," ")</f>
        <v> </v>
      </c>
      <c r="H84" s="94" t="str">
        <f>+IF(+OR(H85&lt;0,H86&lt;0),"НЕРАВНЕНИЕ !"," ")</f>
        <v> </v>
      </c>
      <c r="I84" s="76"/>
      <c r="J84" s="93" t="str">
        <f>+IF(+OR(J85&lt;0,J86&lt;0),"НЕРАВНЕНИЕ !"," ")</f>
        <v> </v>
      </c>
      <c r="K84" s="94" t="str">
        <f>+IF(+OR(K85&lt;0,K86&lt;0),"НЕРАВНЕНИЕ !"," ")</f>
        <v> </v>
      </c>
      <c r="L84" s="76"/>
      <c r="M84" s="93" t="str">
        <f>+IF(+OR(M85&lt;0,M86&lt;0),"НЕРАВНЕНИЕ !"," ")</f>
        <v> </v>
      </c>
      <c r="N84" s="94" t="str">
        <f>+IF(+OR(N85&lt;0,N86&lt;0),"НЕРАВНЕНИЕ !"," ")</f>
        <v> </v>
      </c>
      <c r="O84" s="147"/>
      <c r="P84" s="184" t="s">
        <v>108</v>
      </c>
      <c r="Q84" s="185" t="s">
        <v>109</v>
      </c>
    </row>
    <row r="85" spans="1:17" ht="15">
      <c r="A85" s="42" t="s">
        <v>60</v>
      </c>
      <c r="B85" s="27">
        <v>531</v>
      </c>
      <c r="C85" s="76"/>
      <c r="D85" s="95">
        <f>+'[2]BALANCE-SHEET-2021-leva'!D85/1000+IF(+'[2]Rounding'!$C$54=$B85,+'[2]Rounding'!D$54,0)+IF(+'[2]Rounding'!$C$55=$B85,+'[2]Rounding'!D$55,0)</f>
        <v>921.98569</v>
      </c>
      <c r="E85" s="96">
        <f>+'[2]BALANCE-SHEET-2021-leva'!E85/1000+IF(+'[2]Rounding'!$C$54=$B85,+'[2]Rounding'!E$54,0)+IF(+'[2]Rounding'!$C$55=$B85,+'[2]Rounding'!E$55,0)</f>
        <v>631.3253000000001</v>
      </c>
      <c r="F85" s="76"/>
      <c r="G85" s="95">
        <f>+'[2]BALANCE-SHEET-2021-leva'!G85/1000+IF(+'[2]Rounding'!$G$54=$B85,+'[2]Rounding'!H$54,0)+IF(+'[2]Rounding'!$G$55=$B85,+'[2]Rounding'!H$55,0)</f>
        <v>0</v>
      </c>
      <c r="H85" s="96">
        <f>+'[2]BALANCE-SHEET-2021-leva'!H85/1000+IF(+'[2]Rounding'!$G$54=$B85,+'[2]Rounding'!I$54,0)+IF(+'[2]Rounding'!$G$55=$B85,+'[2]Rounding'!I$55,0)</f>
        <v>0</v>
      </c>
      <c r="I85" s="76"/>
      <c r="J85" s="95">
        <f>+'[2]BALANCE-SHEET-2021-leva'!J85/1000+IF(+'[2]Rounding'!$K$54=$B85,+'[2]Rounding'!L$54,0)+IF(+'[2]Rounding'!$K$55=$B85,+'[2]Rounding'!L$55,0)</f>
        <v>0</v>
      </c>
      <c r="K85" s="96">
        <f>+'[2]BALANCE-SHEET-2021-leva'!K85/1000+IF(+'[2]Rounding'!$K$54=$B85,+'[2]Rounding'!M$54,0)+IF(+'[2]Rounding'!$K$55=$B85,+'[2]Rounding'!M$55,0)</f>
        <v>0</v>
      </c>
      <c r="L85" s="76"/>
      <c r="M85" s="95">
        <f>+D85+G85+J85+IF(+'[2]Rounding'!$O$54=$B85,+'[2]Rounding'!P$54,0)+IF(+'[2]Rounding'!$O$55=$B85,+'[2]Rounding'!P$55,0)</f>
        <v>921.98569</v>
      </c>
      <c r="N85" s="96">
        <f>+E85+H85+K85+IF(+'[2]Rounding'!$O$54=$B85,+'[2]Rounding'!Q$54,0)+IF(+'[2]Rounding'!$O$55=$B85,+'[2]Rounding'!Q$55,0)</f>
        <v>631.3253000000001</v>
      </c>
      <c r="O85" s="147"/>
      <c r="P85" s="186" t="str">
        <f>+IF(+'[1]Intra-Balances'!S2="O K","O K","ГРЕШКА - превишава КТ с/до")</f>
        <v>O K</v>
      </c>
      <c r="Q85" s="187" t="str">
        <f>+IF(+'[1]Intra-Balances'!P2="O K","O K","ГРЕШКА - превишава КТ с/до")</f>
        <v>O K</v>
      </c>
    </row>
    <row r="86" spans="1:17" ht="15">
      <c r="A86" s="43" t="s">
        <v>61</v>
      </c>
      <c r="B86" s="28">
        <v>532</v>
      </c>
      <c r="C86" s="76"/>
      <c r="D86" s="97">
        <f>+'[2]BALANCE-SHEET-2021-leva'!D86/1000+IF(+'[2]Rounding'!$C$54=$B86,+'[2]Rounding'!D$54,0)+IF(+'[2]Rounding'!$C$55=$B86,+'[2]Rounding'!D$55,0)</f>
        <v>0</v>
      </c>
      <c r="E86" s="98">
        <f>+'[2]BALANCE-SHEET-2021-leva'!E86/1000+IF(+'[2]Rounding'!$C$54=$B86,+'[2]Rounding'!E$54,0)+IF(+'[2]Rounding'!$C$55=$B86,+'[2]Rounding'!E$55,0)</f>
        <v>0</v>
      </c>
      <c r="F86" s="76"/>
      <c r="G86" s="97">
        <f>+'[2]BALANCE-SHEET-2021-leva'!G86/1000+IF(+'[2]Rounding'!$G$54=$B86,+'[2]Rounding'!H$54,0)+IF(+'[2]Rounding'!$G$55=$B86,+'[2]Rounding'!H$55,0)</f>
        <v>0</v>
      </c>
      <c r="H86" s="98">
        <f>+'[2]BALANCE-SHEET-2021-leva'!H86/1000+IF(+'[2]Rounding'!$G$54=$B86,+'[2]Rounding'!I$54,0)+IF(+'[2]Rounding'!$G$55=$B86,+'[2]Rounding'!I$55,0)</f>
        <v>0</v>
      </c>
      <c r="I86" s="76"/>
      <c r="J86" s="97">
        <f>+'[2]BALANCE-SHEET-2021-leva'!J86/1000+IF(+'[2]Rounding'!$K$54=$B86,+'[2]Rounding'!L$54,0)+IF(+'[2]Rounding'!$K$55=$B86,+'[2]Rounding'!L$55,0)</f>
        <v>0</v>
      </c>
      <c r="K86" s="98">
        <f>+'[2]BALANCE-SHEET-2021-leva'!K86/1000+IF(+'[2]Rounding'!$K$54=$B86,+'[2]Rounding'!M$54,0)+IF(+'[2]Rounding'!$K$55=$B86,+'[2]Rounding'!M$55,0)</f>
        <v>0</v>
      </c>
      <c r="L86" s="76"/>
      <c r="M86" s="97">
        <f>+D86+G86+J86+IF(+'[2]Rounding'!$O$54=$B86,+'[2]Rounding'!P$54,0)+IF(+'[2]Rounding'!$O$55=$B86,+'[2]Rounding'!P$55,0)</f>
        <v>0</v>
      </c>
      <c r="N86" s="98">
        <f>+E86+H86+K86+IF(+'[2]Rounding'!$O$54=$B86,+'[2]Rounding'!Q$54,0)+IF(+'[2]Rounding'!$O$55=$B86,+'[2]Rounding'!Q$55,0)</f>
        <v>0</v>
      </c>
      <c r="O86" s="147"/>
      <c r="P86" s="216" t="str">
        <f>+'[1]BALANCE-SHEET-2021-leva'!P86:Q86</f>
        <v>O K</v>
      </c>
      <c r="Q86" s="216"/>
    </row>
    <row r="87" spans="1:17" ht="15">
      <c r="A87" s="7" t="s">
        <v>18</v>
      </c>
      <c r="B87" s="14">
        <v>530</v>
      </c>
      <c r="C87" s="76"/>
      <c r="D87" s="99">
        <f>+D85+D86</f>
        <v>921.98569</v>
      </c>
      <c r="E87" s="100">
        <f>+E85+E86</f>
        <v>631.3253000000001</v>
      </c>
      <c r="F87" s="76"/>
      <c r="G87" s="99">
        <f>+G85+G86</f>
        <v>0</v>
      </c>
      <c r="H87" s="100">
        <f>+H85+H86</f>
        <v>0</v>
      </c>
      <c r="I87" s="76"/>
      <c r="J87" s="99">
        <f>+J85+J86</f>
        <v>0</v>
      </c>
      <c r="K87" s="100">
        <f>+K85+K86</f>
        <v>0</v>
      </c>
      <c r="L87" s="76"/>
      <c r="M87" s="99">
        <f>+M85+M86</f>
        <v>921.98569</v>
      </c>
      <c r="N87" s="100">
        <f>+N85+N86</f>
        <v>631.3253000000001</v>
      </c>
      <c r="O87" s="147"/>
      <c r="P87" s="217" t="str">
        <f>+'[1]BALANCE-SHEET-2021-leva'!P87:Q87</f>
        <v>O K</v>
      </c>
      <c r="Q87" s="217"/>
    </row>
    <row r="88" spans="1:17" ht="15">
      <c r="A88" s="4"/>
      <c r="B88" s="15"/>
      <c r="C88" s="76"/>
      <c r="D88" s="101"/>
      <c r="E88" s="102"/>
      <c r="F88" s="76"/>
      <c r="G88" s="101"/>
      <c r="H88" s="102"/>
      <c r="I88" s="76"/>
      <c r="J88" s="101"/>
      <c r="K88" s="102"/>
      <c r="L88" s="76"/>
      <c r="M88" s="101"/>
      <c r="N88" s="102"/>
      <c r="O88" s="147"/>
      <c r="P88" s="1"/>
      <c r="Q88" s="1"/>
    </row>
    <row r="89" spans="1:17" ht="18" thickBot="1">
      <c r="A89" s="44" t="s">
        <v>62</v>
      </c>
      <c r="B89" s="45">
        <v>500</v>
      </c>
      <c r="C89" s="76"/>
      <c r="D89" s="103">
        <f>+D72+D83+D87</f>
        <v>2411.40739</v>
      </c>
      <c r="E89" s="104">
        <f>+E72+E83+E87</f>
        <v>1568.31734</v>
      </c>
      <c r="F89" s="76"/>
      <c r="G89" s="103">
        <f>+G72+G83+G87</f>
        <v>1E-05</v>
      </c>
      <c r="H89" s="104">
        <f>+H72+H83+H87</f>
        <v>0</v>
      </c>
      <c r="I89" s="76"/>
      <c r="J89" s="103">
        <f>+J72+J83+J87</f>
        <v>126.33623</v>
      </c>
      <c r="K89" s="104">
        <f>+K72+K83+K87</f>
        <v>81.1749</v>
      </c>
      <c r="L89" s="76"/>
      <c r="M89" s="103">
        <f>+M72+M83+M87</f>
        <v>1448.3486099999998</v>
      </c>
      <c r="N89" s="104">
        <f>+N72+N83+N87</f>
        <v>877.1607900000001</v>
      </c>
      <c r="O89" s="147"/>
      <c r="P89" s="1"/>
      <c r="Q89" s="1"/>
    </row>
    <row r="90" spans="1:17" ht="15">
      <c r="A90" s="4"/>
      <c r="B90" s="15"/>
      <c r="C90" s="76"/>
      <c r="D90" s="101"/>
      <c r="E90" s="102"/>
      <c r="F90" s="76"/>
      <c r="G90" s="101"/>
      <c r="H90" s="102"/>
      <c r="I90" s="76"/>
      <c r="J90" s="101"/>
      <c r="K90" s="102"/>
      <c r="L90" s="76"/>
      <c r="M90" s="101"/>
      <c r="N90" s="102"/>
      <c r="O90" s="147"/>
      <c r="P90" s="1"/>
      <c r="Q90" s="1"/>
    </row>
    <row r="91" spans="1:17" ht="21" thickBot="1">
      <c r="A91" s="61" t="s">
        <v>63</v>
      </c>
      <c r="B91" s="127">
        <v>600</v>
      </c>
      <c r="C91" s="76"/>
      <c r="D91" s="128">
        <f>ROUND(+D66+D89,0)</f>
        <v>114643</v>
      </c>
      <c r="E91" s="129">
        <f>ROUND(+E66+E89,0)</f>
        <v>117704</v>
      </c>
      <c r="F91" s="76"/>
      <c r="G91" s="128">
        <f>ROUND(+G66+G89,0)</f>
        <v>1190</v>
      </c>
      <c r="H91" s="129">
        <f>ROUND(+H66+H89,0)</f>
        <v>772</v>
      </c>
      <c r="I91" s="76"/>
      <c r="J91" s="128">
        <f>ROUND(+J66+J89,0)</f>
        <v>45799</v>
      </c>
      <c r="K91" s="129">
        <f>ROUND(+K66+K89,0)</f>
        <v>46364</v>
      </c>
      <c r="L91" s="76"/>
      <c r="M91" s="128">
        <f>ROUND(+M66+M89,0)</f>
        <v>160542</v>
      </c>
      <c r="N91" s="129">
        <f>ROUND(+N66+N89,0)</f>
        <v>164068</v>
      </c>
      <c r="O91" s="147"/>
      <c r="P91" s="1"/>
      <c r="Q91" s="1"/>
    </row>
    <row r="92" spans="1:17" ht="18" thickBot="1" thickTop="1">
      <c r="A92" s="17" t="s">
        <v>64</v>
      </c>
      <c r="B92" s="18">
        <v>650</v>
      </c>
      <c r="C92" s="76"/>
      <c r="D92" s="111">
        <f>+ROUND('[2]BALANCE-SHEET-2021-leva'!D92/1000,0)+'[2]Rounding'!D63</f>
        <v>15411</v>
      </c>
      <c r="E92" s="112">
        <f>+ROUND('[2]BALANCE-SHEET-2021-leva'!E92/1000,0)+'[2]Rounding'!E63</f>
        <v>13496</v>
      </c>
      <c r="F92" s="76"/>
      <c r="G92" s="111">
        <f>+ROUND('[2]BALANCE-SHEET-2021-leva'!G92/1000,0)+'[2]Rounding'!H63</f>
        <v>1</v>
      </c>
      <c r="H92" s="112">
        <f>+ROUND('[2]BALANCE-SHEET-2021-leva'!H92/1000,0)+'[2]Rounding'!I63</f>
        <v>3</v>
      </c>
      <c r="I92" s="76"/>
      <c r="J92" s="111">
        <f>+ROUND('[2]BALANCE-SHEET-2021-leva'!J92/1000,0)+'[2]Rounding'!L63</f>
        <v>0</v>
      </c>
      <c r="K92" s="112">
        <f>+ROUND('[2]BALANCE-SHEET-2021-leva'!K92/1000,0)+'[2]Rounding'!M63</f>
        <v>0</v>
      </c>
      <c r="L92" s="76"/>
      <c r="M92" s="111">
        <f>+ROUND((D92+G92+J92),0)+'[2]Rounding'!P63</f>
        <v>15412</v>
      </c>
      <c r="N92" s="112">
        <f>+ROUND((E92+H92+K92),0)+'[2]Rounding'!Q63</f>
        <v>13499</v>
      </c>
      <c r="O92" s="147"/>
      <c r="P92" s="1"/>
      <c r="Q92" s="1"/>
    </row>
    <row r="93" spans="1:17" ht="15.75" thickTop="1">
      <c r="A93" s="130"/>
      <c r="B93" s="86"/>
      <c r="C93" s="76"/>
      <c r="D93" s="115" t="str">
        <f>+IF(+OR(E92&lt;0),"НЕРАВНЕНИЕ !"," ")</f>
        <v> </v>
      </c>
      <c r="E93" s="115" t="str">
        <f>+IF(+OR(D92&lt;0),"НЕРАВНЕНИЕ !"," ")</f>
        <v> </v>
      </c>
      <c r="F93" s="76"/>
      <c r="G93" s="115" t="str">
        <f>+IF(+OR(G92&lt;0),"НЕРАВНЕНИЕ !"," ")</f>
        <v> </v>
      </c>
      <c r="H93" s="115" t="str">
        <f>+IF(+OR(H92&lt;0),"НЕРАВНЕНИЕ !"," ")</f>
        <v> </v>
      </c>
      <c r="I93" s="76"/>
      <c r="J93" s="115" t="str">
        <f>+IF(+OR(J92&lt;0),"НЕРАВНЕНИЕ !"," ")</f>
        <v> </v>
      </c>
      <c r="K93" s="115" t="str">
        <f>+IF(+OR(K92&lt;0),"НЕРАВНЕНИЕ !"," ")</f>
        <v> </v>
      </c>
      <c r="L93" s="76"/>
      <c r="M93" s="115" t="str">
        <f>+IF(+OR(M92&lt;0),"НЕРАВНЕНИЕ !"," ")</f>
        <v> </v>
      </c>
      <c r="N93" s="115" t="str">
        <f>+IF(+OR(N92&lt;0),"НЕРАВНЕНИЕ !"," ")</f>
        <v> </v>
      </c>
      <c r="O93" s="147"/>
      <c r="P93" s="1"/>
      <c r="Q93" s="1"/>
    </row>
    <row r="94" spans="1:17" ht="18">
      <c r="A94" s="131"/>
      <c r="B94" s="116"/>
      <c r="C94" s="76"/>
      <c r="D94" s="74"/>
      <c r="E94" s="74"/>
      <c r="F94" s="76"/>
      <c r="G94" s="77"/>
      <c r="H94" s="132"/>
      <c r="I94" s="76"/>
      <c r="J94" s="74"/>
      <c r="K94" s="77"/>
      <c r="L94" s="76"/>
      <c r="M94" s="74"/>
      <c r="N94" s="77"/>
      <c r="O94" s="147"/>
      <c r="P94" s="1"/>
      <c r="Q94" s="1"/>
    </row>
    <row r="95" spans="1:17" ht="15">
      <c r="A95" s="74"/>
      <c r="B95" s="74"/>
      <c r="C95" s="74"/>
      <c r="D95" s="74"/>
      <c r="E95" s="74"/>
      <c r="F95" s="76"/>
      <c r="G95" s="133"/>
      <c r="H95" s="134"/>
      <c r="I95" s="76"/>
      <c r="J95" s="135"/>
      <c r="K95" s="77"/>
      <c r="L95" s="76"/>
      <c r="M95" s="135"/>
      <c r="N95" s="77"/>
      <c r="O95" s="147"/>
      <c r="P95" s="1"/>
      <c r="Q95" s="1" t="s">
        <v>116</v>
      </c>
    </row>
    <row r="96" spans="1:17" ht="18">
      <c r="A96" s="131"/>
      <c r="B96" s="136" t="s">
        <v>65</v>
      </c>
      <c r="C96" s="137"/>
      <c r="D96" s="138" t="str">
        <f>+'[2]TRIAL-BALANCE'!K10</f>
        <v>20.01.2022г.</v>
      </c>
      <c r="E96" s="139" t="s">
        <v>92</v>
      </c>
      <c r="F96" s="76"/>
      <c r="G96" s="140"/>
      <c r="H96" s="141"/>
      <c r="I96" s="141"/>
      <c r="J96" s="141"/>
      <c r="K96" s="142" t="s">
        <v>93</v>
      </c>
      <c r="L96" s="86"/>
      <c r="M96" s="143"/>
      <c r="N96" s="144"/>
      <c r="O96" s="147"/>
      <c r="P96" s="1"/>
      <c r="Q96" s="203"/>
    </row>
    <row r="97" spans="1:17" ht="15">
      <c r="A97" s="77"/>
      <c r="B97" s="74"/>
      <c r="C97" s="74"/>
      <c r="D97" s="74"/>
      <c r="E97" s="74"/>
      <c r="F97" s="76"/>
      <c r="G97" s="74"/>
      <c r="H97" s="227" t="str">
        <f>+'[2]BALANCE-SHEET-2021-leva'!H97:J97</f>
        <v>Подполковник Илия Христов</v>
      </c>
      <c r="I97" s="227"/>
      <c r="J97" s="227"/>
      <c r="K97" s="145"/>
      <c r="L97" s="86"/>
      <c r="M97" s="218" t="str">
        <f>+'[2]BALANCE-SHEET-2021-leva'!M97</f>
        <v>Бригаден генерал Иван Маламов</v>
      </c>
      <c r="N97" s="218"/>
      <c r="O97" s="147"/>
      <c r="P97" s="1"/>
      <c r="Q97" s="167" t="s">
        <v>101</v>
      </c>
    </row>
    <row r="98" spans="1:17" ht="15">
      <c r="A98" s="77"/>
      <c r="B98" s="74"/>
      <c r="C98" s="76"/>
      <c r="D98" s="74"/>
      <c r="E98" s="132"/>
      <c r="F98" s="76"/>
      <c r="G98" s="74"/>
      <c r="H98" s="74"/>
      <c r="I98" s="76"/>
      <c r="J98" s="74"/>
      <c r="K98" s="74"/>
      <c r="L98" s="86"/>
      <c r="M98" s="74"/>
      <c r="N98" s="74"/>
      <c r="O98" s="147"/>
      <c r="P98" s="1"/>
      <c r="Q98" s="1"/>
    </row>
    <row r="99" spans="1:17" ht="15.75" thickBot="1">
      <c r="A99" s="147"/>
      <c r="B99" s="147"/>
      <c r="C99" s="19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204" t="s">
        <v>117</v>
      </c>
      <c r="Q99" s="205"/>
    </row>
    <row r="100" spans="1:17" ht="15.75" thickBot="1">
      <c r="A100" s="148" t="s">
        <v>97</v>
      </c>
      <c r="B100" s="62"/>
      <c r="C100" s="19"/>
      <c r="D100" s="149" t="str">
        <f>+IF(D54=+D91,"O K","НЕРАВНЕНИЕ !")</f>
        <v>O K</v>
      </c>
      <c r="E100" s="150" t="str">
        <f>+IF(E54=+E91,"O K","НЕРАВНЕНИЕ !")</f>
        <v>O K</v>
      </c>
      <c r="F100" s="1"/>
      <c r="G100" s="151" t="str">
        <f>+IF(G54=+G91,"O K","НЕРАВНЕНИЕ !")</f>
        <v>O K</v>
      </c>
      <c r="H100" s="152" t="str">
        <f>+IF(H54=+H91,"O K","НЕРАВНЕНИЕ !")</f>
        <v>O K</v>
      </c>
      <c r="I100" s="1"/>
      <c r="J100" s="153" t="str">
        <f>+IF(J54=+J91,"O K","НЕРАВНЕНИЕ !")</f>
        <v>O K</v>
      </c>
      <c r="K100" s="154" t="str">
        <f>+IF(K54=+K91,"O K","НЕРАВНЕНИЕ !")</f>
        <v>O K</v>
      </c>
      <c r="L100" s="1"/>
      <c r="M100" s="155" t="str">
        <f>+IF(M54=+M91,"O K","НЕРАВНЕНИЕ !")</f>
        <v>O K</v>
      </c>
      <c r="N100" s="156" t="str">
        <f>+IF(N54=+N91,"O K","НЕРАВНЕНИЕ !")</f>
        <v>O K</v>
      </c>
      <c r="O100" s="1"/>
      <c r="P100" s="206" t="str">
        <f>+IF(P46=P83-P64-P65,"O K","НЕРАВНЕНИЕ !")</f>
        <v>O K</v>
      </c>
      <c r="Q100" s="206" t="str">
        <f>+IF(Q46=Q83-Q64-Q65,"O K","НЕРАВНЕНИЕ !")</f>
        <v>O K</v>
      </c>
    </row>
    <row r="101" spans="1:17" ht="15.75" thickBot="1">
      <c r="A101" s="63" t="s">
        <v>98</v>
      </c>
      <c r="B101" s="64"/>
      <c r="C101" s="19"/>
      <c r="D101" s="149" t="str">
        <f>+IF(+ROUND(+D55-D92,0)-ROUND(+SUM('[2]BALANCE-SHEET-2021-leva'!D55-'[2]BALANCE-SHEET-2021-leva'!D92)/1000,0)=0,"O K","НЕРАВНЕНИЕ !")</f>
        <v>O K</v>
      </c>
      <c r="E101" s="150" t="str">
        <f>+IF(+ROUND(+E55-E92,0)-ROUND(+SUM('[2]BALANCE-SHEET-2021-leva'!E55-'[2]BALANCE-SHEET-2021-leva'!E92)/1000,0)=0,"O K","НЕРАВНЕНИЕ !")</f>
        <v>O K</v>
      </c>
      <c r="F101" s="1"/>
      <c r="G101" s="151" t="str">
        <f>+IF(+ROUND(+G55-G92,0)-ROUND(+SUM('[2]BALANCE-SHEET-2021-leva'!G55-'[2]BALANCE-SHEET-2021-leva'!G92)/1000,0)=0,"O K","НЕРАВНЕНИЕ !")</f>
        <v>O K</v>
      </c>
      <c r="H101" s="152" t="str">
        <f>+IF(+ROUND(+H55-H92,0)-ROUND(+SUM('[2]BALANCE-SHEET-2021-leva'!H55-'[2]BALANCE-SHEET-2021-leva'!H92)/1000,0)=0,"O K","НЕРАВНЕНИЕ !")</f>
        <v>O K</v>
      </c>
      <c r="I101" s="1"/>
      <c r="J101" s="153" t="str">
        <f>+IF(+ROUND(+J55-J92,0)-ROUND(+SUM('[2]BALANCE-SHEET-2021-leva'!J55-'[2]BALANCE-SHEET-2021-leva'!J92)/1000,0)=0,"O K","НЕРАВНЕНИЕ !")</f>
        <v>O K</v>
      </c>
      <c r="K101" s="154" t="str">
        <f>+IF(+ROUND(+K55-K92,0)-ROUND(+SUM('[2]BALANCE-SHEET-2021-leva'!K55-'[2]BALANCE-SHEET-2021-leva'!K92)/1000,0)=0,"O K","НЕРАВНЕНИЕ !")</f>
        <v>O K</v>
      </c>
      <c r="L101" s="1"/>
      <c r="M101" s="155" t="str">
        <f>+IF(+ROUND(+M55-M92,0)-ROUND(+SUM('[2]BALANCE-SHEET-2021-leva'!M55-'[2]BALANCE-SHEET-2021-leva'!M92)/1000,0)=0,"O K","НЕРАВНЕНИЕ !")</f>
        <v>O K</v>
      </c>
      <c r="N101" s="156" t="str">
        <f>+IF(+ROUND(+N55-N92,0)-ROUND(+SUM('[2]BALANCE-SHEET-2021-leva'!N55-'[2]BALANCE-SHEET-2021-leva'!N92)/1000,0)=0,"O K","НЕРАВНЕНИЕ !")</f>
        <v>O K</v>
      </c>
      <c r="O101" s="1"/>
      <c r="P101" s="207">
        <f>+P46-(P83-P64-P65)</f>
        <v>0</v>
      </c>
      <c r="Q101" s="207">
        <f>+Q46-(Q83-Q64-Q65)</f>
        <v>0</v>
      </c>
    </row>
    <row r="102" spans="1:17" ht="15.75" thickBot="1">
      <c r="A102" s="1"/>
      <c r="B102" s="1"/>
      <c r="C102" s="1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08" t="s">
        <v>118</v>
      </c>
      <c r="Q102" s="209"/>
    </row>
    <row r="103" spans="1:17" ht="15.75" thickBot="1">
      <c r="A103" s="148" t="s">
        <v>99</v>
      </c>
      <c r="B103" s="62"/>
      <c r="C103" s="19"/>
      <c r="D103" s="157">
        <f>+ROUND(D54-D91,0)</f>
        <v>0</v>
      </c>
      <c r="E103" s="158">
        <f>+ROUND(E54-E91,0)</f>
        <v>0</v>
      </c>
      <c r="F103" s="159"/>
      <c r="G103" s="160">
        <f>+ROUND(G54-G91,0)</f>
        <v>0</v>
      </c>
      <c r="H103" s="161">
        <f>+ROUND(H54-H91,0)</f>
        <v>0</v>
      </c>
      <c r="I103" s="159"/>
      <c r="J103" s="162">
        <f>+ROUND(J54-J91,0)</f>
        <v>0</v>
      </c>
      <c r="K103" s="163">
        <f>+ROUND(K54-K91,0)</f>
        <v>0</v>
      </c>
      <c r="L103" s="159"/>
      <c r="M103" s="164">
        <f>+ROUND(M54-M91,0)</f>
        <v>0</v>
      </c>
      <c r="N103" s="165">
        <f>+ROUND(N54-N91,0)</f>
        <v>0</v>
      </c>
      <c r="O103" s="1"/>
      <c r="P103" s="210" t="s">
        <v>119</v>
      </c>
      <c r="Q103" s="211"/>
    </row>
    <row r="104" spans="1:17" ht="15.75" thickBot="1">
      <c r="A104" s="65" t="s">
        <v>100</v>
      </c>
      <c r="B104" s="64"/>
      <c r="C104" s="19"/>
      <c r="D104" s="157">
        <f>+ROUND(+D55-D92,0)-ROUND(+SUM('[2]BALANCE-SHEET-2021-leva'!D55-'[2]BALANCE-SHEET-2021-leva'!D92)/1000,0)</f>
        <v>0</v>
      </c>
      <c r="E104" s="158">
        <f>+ROUND(+E55-E92,0)-ROUND(+SUM('[2]BALANCE-SHEET-2021-leva'!E55-'[2]BALANCE-SHEET-2021-leva'!E92)/1000,0)</f>
        <v>0</v>
      </c>
      <c r="F104" s="159"/>
      <c r="G104" s="160">
        <f>+ROUND(+G55-G92,0)-ROUND(+SUM('[2]BALANCE-SHEET-2021-leva'!G55-'[2]BALANCE-SHEET-2021-leva'!G92)/1000,0)</f>
        <v>0</v>
      </c>
      <c r="H104" s="161">
        <f>+ROUND(+H55-H92,0)-ROUND(+SUM('[2]BALANCE-SHEET-2021-leva'!H55-'[2]BALANCE-SHEET-2021-leva'!H92)/1000,0)</f>
        <v>0</v>
      </c>
      <c r="I104" s="159"/>
      <c r="J104" s="162">
        <f>+ROUND(+J55-J92,0)-ROUND(+SUM('[2]BALANCE-SHEET-2021-leva'!J55-'[2]BALANCE-SHEET-2021-leva'!J92)/1000,0)</f>
        <v>0</v>
      </c>
      <c r="K104" s="163">
        <f>+ROUND(+K55-K92,0)-ROUND(+SUM('[2]BALANCE-SHEET-2021-leva'!K55-'[2]BALANCE-SHEET-2021-leva'!K92)/1000,0)</f>
        <v>0</v>
      </c>
      <c r="L104" s="159"/>
      <c r="M104" s="164">
        <f>+ROUND(+M55-M92,0)-ROUND(+SUM('[2]BALANCE-SHEET-2021-leva'!M55-'[2]BALANCE-SHEET-2021-leva'!M92)/1000,0)</f>
        <v>0</v>
      </c>
      <c r="N104" s="165">
        <f>+ROUND(+N55-N92,0)-ROUND(+SUM('[2]BALANCE-SHEET-2021-leva'!N55-'[2]BALANCE-SHEET-2021-leva'!N92)/1000,0)</f>
        <v>0</v>
      </c>
      <c r="O104" s="1"/>
      <c r="P104" s="212" t="s">
        <v>120</v>
      </c>
      <c r="Q104" s="213" t="str">
        <f>+Q35</f>
        <v>'Intra-Balances' </v>
      </c>
    </row>
    <row r="105" spans="1:17" ht="15">
      <c r="A105" s="147"/>
      <c r="B105" s="147"/>
      <c r="C105" s="19"/>
      <c r="D105" s="147"/>
      <c r="E105" s="147"/>
      <c r="F105" s="19"/>
      <c r="G105" s="147"/>
      <c r="H105" s="147"/>
      <c r="I105" s="19"/>
      <c r="J105" s="147"/>
      <c r="K105" s="147"/>
      <c r="L105" s="19"/>
      <c r="M105" s="147"/>
      <c r="N105" s="147"/>
      <c r="O105" s="147"/>
      <c r="P105" s="214" t="s">
        <v>121</v>
      </c>
      <c r="Q105" s="215" t="str">
        <f>+Q36</f>
        <v>'Municipal-Bal'</v>
      </c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P48:Q48">
    <cfRule type="cellIs" priority="51" dxfId="54" operator="notEqual" stopIfTrue="1">
      <formula>"O K"</formula>
    </cfRule>
  </conditionalFormatting>
  <conditionalFormatting sqref="P85:Q85">
    <cfRule type="cellIs" priority="50" dxfId="54" operator="notEqual" stopIfTrue="1">
      <formula>"O K"</formula>
    </cfRule>
  </conditionalFormatting>
  <conditionalFormatting sqref="P50">
    <cfRule type="cellIs" priority="47" dxfId="54" operator="notEqual" stopIfTrue="1">
      <formula>"O K"</formula>
    </cfRule>
  </conditionalFormatting>
  <conditionalFormatting sqref="P50:Q50">
    <cfRule type="cellIs" priority="46" dxfId="55" operator="equal" stopIfTrue="1">
      <formula>"O K"</formula>
    </cfRule>
  </conditionalFormatting>
  <conditionalFormatting sqref="P87">
    <cfRule type="cellIs" priority="45" dxfId="54" operator="notEqual" stopIfTrue="1">
      <formula>"O K"</formula>
    </cfRule>
  </conditionalFormatting>
  <conditionalFormatting sqref="P87:Q87">
    <cfRule type="cellIs" priority="44" dxfId="55" operator="equal" stopIfTrue="1">
      <formula>"O K"</formula>
    </cfRule>
  </conditionalFormatting>
  <conditionalFormatting sqref="P86">
    <cfRule type="cellIs" priority="43" dxfId="54" operator="notEqual" stopIfTrue="1">
      <formula>"O K"</formula>
    </cfRule>
  </conditionalFormatting>
  <conditionalFormatting sqref="P86:Q86">
    <cfRule type="cellIs" priority="42" dxfId="55" operator="equal" stopIfTrue="1">
      <formula>"O K"</formula>
    </cfRule>
  </conditionalFormatting>
  <conditionalFormatting sqref="P66">
    <cfRule type="cellIs" priority="41" dxfId="54" operator="notEqual" stopIfTrue="1">
      <formula>"O K"</formula>
    </cfRule>
  </conditionalFormatting>
  <conditionalFormatting sqref="P66:Q66">
    <cfRule type="cellIs" priority="40" dxfId="55" operator="equal" stopIfTrue="1">
      <formula>"O K"</formula>
    </cfRule>
  </conditionalFormatting>
  <conditionalFormatting sqref="P67">
    <cfRule type="cellIs" priority="39" dxfId="54" operator="notEqual" stopIfTrue="1">
      <formula>"O K"</formula>
    </cfRule>
  </conditionalFormatting>
  <conditionalFormatting sqref="P67:Q67">
    <cfRule type="cellIs" priority="38" dxfId="55" operator="equal" stopIfTrue="1">
      <formula>"O K"</formula>
    </cfRule>
  </conditionalFormatting>
  <conditionalFormatting sqref="P49">
    <cfRule type="cellIs" priority="24" dxfId="54" operator="notEqual" stopIfTrue="1">
      <formula>"O K"</formula>
    </cfRule>
  </conditionalFormatting>
  <conditionalFormatting sqref="P49:Q49">
    <cfRule type="cellIs" priority="23" dxfId="55" operator="equal" stopIfTrue="1">
      <formula>"O K"</formula>
    </cfRule>
  </conditionalFormatting>
  <conditionalFormatting sqref="P100">
    <cfRule type="cellIs" priority="22" dxfId="54" operator="equal" stopIfTrue="1">
      <formula>"НЕРАВНЕНИЕ !"</formula>
    </cfRule>
  </conditionalFormatting>
  <conditionalFormatting sqref="P101">
    <cfRule type="cellIs" priority="21" dxfId="54" operator="notEqual" stopIfTrue="1">
      <formula>0</formula>
    </cfRule>
  </conditionalFormatting>
  <conditionalFormatting sqref="Q100">
    <cfRule type="cellIs" priority="20" dxfId="54" operator="equal" stopIfTrue="1">
      <formula>"НЕРАВНЕНИЕ !"</formula>
    </cfRule>
  </conditionalFormatting>
  <conditionalFormatting sqref="Q101">
    <cfRule type="cellIs" priority="19" dxfId="54" operator="notEqual" stopIfTrue="1">
      <formula>0</formula>
    </cfRule>
  </conditionalFormatting>
  <conditionalFormatting sqref="D93:E93 E62 H62 K62 N62 D12:E12 D23:E23 D30:E30 D35:E35 D39:E39 D47:E47 D56:E56 D68:E68 D73:E73 D84:E84 D100:E101 G100:H101 G12:H12 G23:H23 G30:H30 G35:H35 G39:H39 G47:H47 G56:H56 G68:H68 G73:H73 G84:H84 G93:H93 J100:K101 J12:K12 J23:K23 J30:K30 J35:K35 J39:K39 J47:K47 J56:K56 J68:K68 J73:K73 J84:K84 J93:K93 M12:N12 M56:N56 M100:N101 M93:N93">
    <cfRule type="cellIs" priority="16" dxfId="54" operator="equal" stopIfTrue="1">
      <formula>"НЕРАВНЕНИЕ !"</formula>
    </cfRule>
  </conditionalFormatting>
  <conditionalFormatting sqref="D103:E104 G103:H104 J103:K104 M103:N104">
    <cfRule type="cellIs" priority="17" dxfId="54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18" dxfId="54" operator="lessThan" stopIfTrue="1">
      <formula>0</formula>
    </cfRule>
  </conditionalFormatting>
  <conditionalFormatting sqref="K3">
    <cfRule type="cellIs" priority="15" dxfId="56" operator="equal" stopIfTrue="1">
      <formula>0</formula>
    </cfRule>
  </conditionalFormatting>
  <conditionalFormatting sqref="N1">
    <cfRule type="cellIs" priority="14" dxfId="56" operator="equal" stopIfTrue="1">
      <formula>0</formula>
    </cfRule>
  </conditionalFormatting>
  <conditionalFormatting sqref="A9">
    <cfRule type="cellIs" priority="13" dxfId="57" operator="equal">
      <formula>"Непопълнен ред в таблица 'Cash-deficit'!"</formula>
    </cfRule>
  </conditionalFormatting>
  <conditionalFormatting sqref="A60">
    <cfRule type="cellIs" priority="12" dxfId="57" operator="equal">
      <formula>"Непопълнен ред в таблица 'Cash-deficit'!"</formula>
    </cfRule>
  </conditionalFormatting>
  <conditionalFormatting sqref="A3:D3">
    <cfRule type="cellIs" priority="11" dxfId="56" operator="equal" stopIfTrue="1">
      <formula>0</formula>
    </cfRule>
  </conditionalFormatting>
  <conditionalFormatting sqref="M23:N23 M30:N30 M35:N35 M39:N39 M47:N47">
    <cfRule type="cellIs" priority="9" dxfId="54" operator="equal" stopIfTrue="1">
      <formula>"НЕРАВНЕНИЕ !"</formula>
    </cfRule>
  </conditionalFormatting>
  <conditionalFormatting sqref="M54:N54 M24:N26 M40:N46 M28:N28 M31:N34 M36:N38 M22:N22 M52:N52 M48:N50 M13:N20">
    <cfRule type="cellIs" priority="10" dxfId="54" operator="lessThan" stopIfTrue="1">
      <formula>0</formula>
    </cfRule>
  </conditionalFormatting>
  <conditionalFormatting sqref="M68:N68 M73:N73 M84:N84">
    <cfRule type="cellIs" priority="7" dxfId="54" operator="equal" stopIfTrue="1">
      <formula>"НЕРАВНЕНИЕ !"</formula>
    </cfRule>
  </conditionalFormatting>
  <conditionalFormatting sqref="M85:N87 M69:N72 M74:N83 M89:N89 M91:N91">
    <cfRule type="cellIs" priority="8" dxfId="54" operator="lessThan" stopIfTrue="1">
      <formula>0</formula>
    </cfRule>
  </conditionalFormatting>
  <conditionalFormatting sqref="E2:H2">
    <cfRule type="cellIs" priority="5" dxfId="57" operator="equal">
      <formula>"отчетено НЕРАВНЕНИЕ в таблица 'Status'!"</formula>
    </cfRule>
    <cfRule type="cellIs" priority="6" dxfId="58" operator="equal">
      <formula>0</formula>
    </cfRule>
  </conditionalFormatting>
  <conditionalFormatting sqref="D6:E6">
    <cfRule type="cellIs" priority="4" dxfId="57" operator="notEqual">
      <formula>0</formula>
    </cfRule>
  </conditionalFormatting>
  <conditionalFormatting sqref="G6:H6">
    <cfRule type="cellIs" priority="3" dxfId="57" operator="notEqual">
      <formula>0</formula>
    </cfRule>
  </conditionalFormatting>
  <conditionalFormatting sqref="J2:K2">
    <cfRule type="cellIs" priority="2" dxfId="57" operator="notEqual">
      <formula>0</formula>
    </cfRule>
  </conditionalFormatting>
  <conditionalFormatting sqref="M2:N2">
    <cfRule type="cellIs" priority="1" dxfId="5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2022-02-15T06:54:05Z</dcterms:modified>
  <cp:category/>
  <cp:version/>
  <cp:contentType/>
  <cp:contentStatus/>
</cp:coreProperties>
</file>