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proceduri\pokrivi_2020\za_publ_2\"/>
    </mc:Choice>
  </mc:AlternateContent>
  <bookViews>
    <workbookView xWindow="-120" yWindow="-120" windowWidth="15480" windowHeight="11160"/>
  </bookViews>
  <sheets>
    <sheet name="poz 1" sheetId="5" r:id="rId1"/>
    <sheet name="poz 2" sheetId="6" r:id="rId2"/>
    <sheet name="poz 3" sheetId="7" r:id="rId3"/>
    <sheet name="poz 4" sheetId="8" r:id="rId4"/>
    <sheet name="poz 5" sheetId="9" r:id="rId5"/>
  </sheets>
  <definedNames>
    <definedName name="_xlnm._FilterDatabase" localSheetId="0" hidden="1">'poz 1'!$A$4:$F$26</definedName>
    <definedName name="_xlnm._FilterDatabase" localSheetId="1" hidden="1">'poz 2'!$A$4:$F$135</definedName>
    <definedName name="_xlnm._FilterDatabase" localSheetId="2" hidden="1">'poz 3'!$A$4:$F$77</definedName>
    <definedName name="_xlnm._FilterDatabase" localSheetId="3" hidden="1">'poz 4'!$A$4:$F$4</definedName>
    <definedName name="_xlnm._FilterDatabase" localSheetId="4" hidden="1">'poz 5'!$A$4:$F$59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8" l="1"/>
  <c r="D26" i="6"/>
  <c r="F46" i="9"/>
  <c r="D17" i="9"/>
  <c r="F59" i="9"/>
  <c r="F58" i="9"/>
  <c r="F57" i="9"/>
  <c r="F56" i="9"/>
  <c r="F55" i="9"/>
  <c r="F54" i="9"/>
  <c r="F53" i="9"/>
  <c r="F51" i="9"/>
  <c r="F50" i="9"/>
  <c r="F49" i="9"/>
  <c r="F48" i="9"/>
  <c r="F47" i="9"/>
  <c r="F45" i="9"/>
  <c r="F44" i="9"/>
  <c r="F43" i="9"/>
  <c r="F42" i="9"/>
  <c r="F41" i="9"/>
  <c r="F40" i="9"/>
  <c r="F39" i="9"/>
  <c r="F38" i="9"/>
  <c r="D34" i="9"/>
  <c r="D37" i="9" s="1"/>
  <c r="F37" i="9" s="1"/>
  <c r="F33" i="9"/>
  <c r="F32" i="9"/>
  <c r="D31" i="9"/>
  <c r="F31" i="9" s="1"/>
  <c r="F27" i="9"/>
  <c r="F26" i="9"/>
  <c r="F25" i="9"/>
  <c r="F24" i="9"/>
  <c r="F16" i="9"/>
  <c r="F15" i="9"/>
  <c r="F14" i="9"/>
  <c r="F13" i="9"/>
  <c r="F10" i="9"/>
  <c r="F9" i="9"/>
  <c r="F8" i="9"/>
  <c r="F7" i="9"/>
  <c r="F41" i="8"/>
  <c r="F40" i="8"/>
  <c r="F39" i="8"/>
  <c r="F38" i="8"/>
  <c r="F37" i="8"/>
  <c r="F36" i="8"/>
  <c r="F35" i="8"/>
  <c r="F34" i="8"/>
  <c r="D31" i="8"/>
  <c r="D33" i="8" s="1"/>
  <c r="F33" i="8" s="1"/>
  <c r="D30" i="8"/>
  <c r="F30" i="8" s="1"/>
  <c r="D29" i="8"/>
  <c r="F29" i="8" s="1"/>
  <c r="F28" i="8"/>
  <c r="D26" i="8"/>
  <c r="F26" i="8" s="1"/>
  <c r="D24" i="8"/>
  <c r="F24" i="8" s="1"/>
  <c r="F21" i="8"/>
  <c r="D20" i="8"/>
  <c r="D19" i="8"/>
  <c r="D18" i="8"/>
  <c r="D17" i="8"/>
  <c r="D16" i="8"/>
  <c r="D15" i="8"/>
  <c r="D14" i="8"/>
  <c r="D25" i="8" s="1"/>
  <c r="F25" i="8" s="1"/>
  <c r="D13" i="8"/>
  <c r="D12" i="8"/>
  <c r="D11" i="8"/>
  <c r="D10" i="8"/>
  <c r="D9" i="8"/>
  <c r="D8" i="8"/>
  <c r="D7" i="8"/>
  <c r="D6" i="8"/>
  <c r="D23" i="8" s="1"/>
  <c r="F23" i="8" s="1"/>
  <c r="D68" i="7"/>
  <c r="F68" i="7" s="1"/>
  <c r="D67" i="7"/>
  <c r="F67" i="7" s="1"/>
  <c r="D66" i="7"/>
  <c r="F66" i="7"/>
  <c r="D65" i="7"/>
  <c r="D49" i="7"/>
  <c r="D39" i="7"/>
  <c r="D38" i="7"/>
  <c r="D37" i="7"/>
  <c r="D33" i="7"/>
  <c r="D95" i="7"/>
  <c r="D13" i="7"/>
  <c r="D9" i="7"/>
  <c r="D7" i="7"/>
  <c r="D6" i="7"/>
  <c r="D11" i="7" s="1"/>
  <c r="D12" i="7" s="1"/>
  <c r="F40" i="7"/>
  <c r="F129" i="7"/>
  <c r="F128" i="7"/>
  <c r="F127" i="7"/>
  <c r="F126" i="7"/>
  <c r="F125" i="7"/>
  <c r="F124" i="7"/>
  <c r="F123" i="7"/>
  <c r="F122" i="7"/>
  <c r="F121" i="7"/>
  <c r="D120" i="7"/>
  <c r="F120" i="7" s="1"/>
  <c r="D116" i="7"/>
  <c r="D115" i="7"/>
  <c r="D114" i="7"/>
  <c r="D113" i="7"/>
  <c r="D112" i="7"/>
  <c r="D111" i="7"/>
  <c r="F111" i="7" s="1"/>
  <c r="D104" i="7"/>
  <c r="D99" i="7"/>
  <c r="D119" i="7" s="1"/>
  <c r="F119" i="7" s="1"/>
  <c r="D98" i="7"/>
  <c r="D97" i="7"/>
  <c r="D96" i="7"/>
  <c r="D94" i="7"/>
  <c r="D118" i="7" s="1"/>
  <c r="F118" i="7" s="1"/>
  <c r="D93" i="7"/>
  <c r="D92" i="7"/>
  <c r="D91" i="7"/>
  <c r="D90" i="7"/>
  <c r="D117" i="7" s="1"/>
  <c r="F117" i="7" s="1"/>
  <c r="D89" i="7"/>
  <c r="D88" i="7"/>
  <c r="D87" i="7"/>
  <c r="D86" i="7"/>
  <c r="D85" i="7" s="1"/>
  <c r="D110" i="7" s="1"/>
  <c r="F110" i="7" s="1"/>
  <c r="F84" i="7"/>
  <c r="F76" i="7"/>
  <c r="F75" i="7"/>
  <c r="F74" i="7"/>
  <c r="F73" i="7"/>
  <c r="F72" i="7"/>
  <c r="F71" i="7"/>
  <c r="F70" i="7"/>
  <c r="F69" i="7"/>
  <c r="F65" i="7"/>
  <c r="D64" i="7"/>
  <c r="F61" i="7"/>
  <c r="D60" i="7"/>
  <c r="F58" i="7"/>
  <c r="F57" i="7"/>
  <c r="D56" i="7"/>
  <c r="D63" i="7" s="1"/>
  <c r="F49" i="7"/>
  <c r="F48" i="7"/>
  <c r="F47" i="7"/>
  <c r="F46" i="7"/>
  <c r="F45" i="7"/>
  <c r="F44" i="7"/>
  <c r="F43" i="7"/>
  <c r="F42" i="7"/>
  <c r="F41" i="7"/>
  <c r="F36" i="7"/>
  <c r="F34" i="7"/>
  <c r="F32" i="7"/>
  <c r="F24" i="7"/>
  <c r="F23" i="7"/>
  <c r="F22" i="7"/>
  <c r="F21" i="7"/>
  <c r="F20" i="7"/>
  <c r="F19" i="7"/>
  <c r="F18" i="7"/>
  <c r="F17" i="7"/>
  <c r="F16" i="7"/>
  <c r="F15" i="7"/>
  <c r="F14" i="7"/>
  <c r="F7" i="7"/>
  <c r="E72" i="6"/>
  <c r="F116" i="6"/>
  <c r="F71" i="6"/>
  <c r="F72" i="6"/>
  <c r="D104" i="6"/>
  <c r="F88" i="6"/>
  <c r="F104" i="7" l="1"/>
  <c r="F52" i="9"/>
  <c r="F34" i="9"/>
  <c r="D35" i="9"/>
  <c r="D42" i="8"/>
  <c r="F42" i="8" s="1"/>
  <c r="F6" i="8"/>
  <c r="F14" i="8"/>
  <c r="D22" i="8"/>
  <c r="F22" i="8" s="1"/>
  <c r="F31" i="8"/>
  <c r="D32" i="8"/>
  <c r="F32" i="8" s="1"/>
  <c r="D130" i="7"/>
  <c r="F130" i="7" s="1"/>
  <c r="D25" i="7"/>
  <c r="F25" i="7" s="1"/>
  <c r="D10" i="7"/>
  <c r="D77" i="7"/>
  <c r="F8" i="7"/>
  <c r="F56" i="7"/>
  <c r="D59" i="7"/>
  <c r="D62" i="7"/>
  <c r="F77" i="7"/>
  <c r="F85" i="7"/>
  <c r="F90" i="7"/>
  <c r="F94" i="7"/>
  <c r="F99" i="7"/>
  <c r="D109" i="7"/>
  <c r="F35" i="9" l="1"/>
  <c r="D36" i="9"/>
  <c r="F36" i="9" s="1"/>
  <c r="F17" i="9"/>
  <c r="F44" i="8"/>
  <c r="F45" i="8" s="1"/>
  <c r="F46" i="8" s="1"/>
  <c r="F47" i="8"/>
  <c r="F48" i="8" s="1"/>
  <c r="F5" i="8"/>
  <c r="F30" i="9" l="1"/>
  <c r="F13" i="7"/>
  <c r="F6" i="7" l="1"/>
  <c r="F59" i="7" l="1"/>
  <c r="F33" i="7"/>
  <c r="F9" i="7"/>
  <c r="F109" i="7" l="1"/>
  <c r="F10" i="7"/>
  <c r="F11" i="7"/>
  <c r="F60" i="7"/>
  <c r="F35" i="7"/>
  <c r="F12" i="7"/>
  <c r="F83" i="7" l="1"/>
  <c r="F131" i="7"/>
  <c r="F26" i="7"/>
  <c r="F27" i="7" s="1"/>
  <c r="F28" i="7" s="1"/>
  <c r="F29" i="7" s="1"/>
  <c r="F30" i="7" s="1"/>
  <c r="F39" i="7"/>
  <c r="F38" i="7"/>
  <c r="F62" i="7"/>
  <c r="F37" i="7"/>
  <c r="F5" i="7"/>
  <c r="F31" i="7" l="1"/>
  <c r="F132" i="7"/>
  <c r="F133" i="7" s="1"/>
  <c r="F50" i="7"/>
  <c r="F63" i="7"/>
  <c r="F55" i="7" s="1"/>
  <c r="F64" i="7"/>
  <c r="F78" i="7" l="1"/>
  <c r="F79" i="7"/>
  <c r="F80" i="7" s="1"/>
  <c r="F81" i="7" s="1"/>
  <c r="F82" i="7" s="1"/>
  <c r="F134" i="7"/>
  <c r="F135" i="7" s="1"/>
  <c r="F51" i="7"/>
  <c r="F52" i="7" s="1"/>
  <c r="F53" i="7" s="1"/>
  <c r="F54" i="7" s="1"/>
  <c r="F138" i="7"/>
  <c r="D57" i="6"/>
  <c r="D59" i="6"/>
  <c r="D60" i="6"/>
  <c r="D62" i="6"/>
  <c r="D67" i="6"/>
  <c r="D68" i="6"/>
  <c r="D69" i="6"/>
  <c r="D70" i="6"/>
  <c r="D91" i="6"/>
  <c r="F91" i="6" s="1"/>
  <c r="F90" i="6"/>
  <c r="F89" i="6"/>
  <c r="D87" i="6"/>
  <c r="F87" i="6" s="1"/>
  <c r="F86" i="6"/>
  <c r="F85" i="6"/>
  <c r="F84" i="6"/>
  <c r="F83" i="6"/>
  <c r="F82" i="6"/>
  <c r="F81" i="6"/>
  <c r="F80" i="6"/>
  <c r="F79" i="6"/>
  <c r="F52" i="6"/>
  <c r="D61" i="6"/>
  <c r="F24" i="6"/>
  <c r="D23" i="6"/>
  <c r="F23" i="6" s="1"/>
  <c r="D19" i="6"/>
  <c r="D7" i="5"/>
  <c r="D11" i="5" s="1"/>
  <c r="D29" i="5"/>
  <c r="D33" i="5" s="1"/>
  <c r="F135" i="6"/>
  <c r="F134" i="6"/>
  <c r="F126" i="6"/>
  <c r="F125" i="6"/>
  <c r="F115" i="6"/>
  <c r="F114" i="6"/>
  <c r="F113" i="6"/>
  <c r="F112" i="6"/>
  <c r="F111" i="6"/>
  <c r="F110" i="6"/>
  <c r="F109" i="6"/>
  <c r="F108" i="6"/>
  <c r="F107" i="6"/>
  <c r="D106" i="6"/>
  <c r="F106" i="6" s="1"/>
  <c r="F105" i="6"/>
  <c r="F69" i="6"/>
  <c r="F68" i="6"/>
  <c r="F67" i="6"/>
  <c r="F66" i="6"/>
  <c r="F62" i="6"/>
  <c r="F61" i="6"/>
  <c r="F60" i="6"/>
  <c r="F59" i="6"/>
  <c r="F58" i="6"/>
  <c r="F56" i="6"/>
  <c r="F50" i="6"/>
  <c r="F48" i="6"/>
  <c r="D47" i="6"/>
  <c r="D49" i="6" s="1"/>
  <c r="F49" i="6" s="1"/>
  <c r="F46" i="6"/>
  <c r="F45" i="6"/>
  <c r="F44" i="6"/>
  <c r="F43" i="6"/>
  <c r="F42" i="6"/>
  <c r="F41" i="6"/>
  <c r="F40" i="6"/>
  <c r="F39" i="6"/>
  <c r="F38" i="6"/>
  <c r="F37" i="6"/>
  <c r="F33" i="6"/>
  <c r="F30" i="6"/>
  <c r="F25" i="6"/>
  <c r="F22" i="6"/>
  <c r="F21" i="6"/>
  <c r="F20" i="6"/>
  <c r="F19" i="6"/>
  <c r="D15" i="6"/>
  <c r="F15" i="6" s="1"/>
  <c r="D14" i="6"/>
  <c r="F14" i="6" s="1"/>
  <c r="D13" i="6"/>
  <c r="F13" i="6" s="1"/>
  <c r="D12" i="6"/>
  <c r="F12" i="6" s="1"/>
  <c r="F10" i="6"/>
  <c r="F61" i="5"/>
  <c r="F60" i="5"/>
  <c r="F59" i="5"/>
  <c r="F58" i="5"/>
  <c r="F57" i="5"/>
  <c r="F62" i="5"/>
  <c r="D56" i="5"/>
  <c r="F53" i="5"/>
  <c r="F56" i="5"/>
  <c r="F55" i="5"/>
  <c r="F54" i="5"/>
  <c r="F52" i="5"/>
  <c r="F51" i="5"/>
  <c r="F50" i="5"/>
  <c r="F43" i="5"/>
  <c r="F42" i="5"/>
  <c r="F41" i="5"/>
  <c r="F40" i="5"/>
  <c r="F39" i="5"/>
  <c r="F38" i="5"/>
  <c r="F37" i="5"/>
  <c r="F36" i="5"/>
  <c r="D35" i="5"/>
  <c r="F35" i="5" s="1"/>
  <c r="D32" i="5"/>
  <c r="F32" i="5" s="1"/>
  <c r="F30" i="5"/>
  <c r="F21" i="5"/>
  <c r="F20" i="5"/>
  <c r="F19" i="5"/>
  <c r="F18" i="5"/>
  <c r="F17" i="5"/>
  <c r="F16" i="5"/>
  <c r="F15" i="5"/>
  <c r="F14" i="5"/>
  <c r="D13" i="5"/>
  <c r="F13" i="5" s="1"/>
  <c r="D10" i="5"/>
  <c r="F10" i="5" s="1"/>
  <c r="F8" i="5"/>
  <c r="F12" i="5"/>
  <c r="F29" i="5" l="1"/>
  <c r="F7" i="5"/>
  <c r="D9" i="5"/>
  <c r="D31" i="5"/>
  <c r="F139" i="7"/>
  <c r="F140" i="7"/>
  <c r="F141" i="7" s="1"/>
  <c r="F142" i="7" s="1"/>
  <c r="D51" i="6"/>
  <c r="F51" i="6" s="1"/>
  <c r="F11" i="6"/>
  <c r="F18" i="6"/>
  <c r="F28" i="6"/>
  <c r="F29" i="6"/>
  <c r="F104" i="6"/>
  <c r="F8" i="6"/>
  <c r="F9" i="6"/>
  <c r="F47" i="6"/>
  <c r="F34" i="5"/>
  <c r="F49" i="5"/>
  <c r="F63" i="5"/>
  <c r="F64" i="5" s="1"/>
  <c r="F65" i="5" s="1"/>
  <c r="F28" i="5"/>
  <c r="F31" i="5"/>
  <c r="F33" i="5"/>
  <c r="F6" i="5"/>
  <c r="F9" i="5"/>
  <c r="F11" i="5"/>
  <c r="F124" i="6" l="1"/>
  <c r="F55" i="6"/>
  <c r="F36" i="6"/>
  <c r="F32" i="6"/>
  <c r="F31" i="6"/>
  <c r="F26" i="6"/>
  <c r="F17" i="6"/>
  <c r="F16" i="6"/>
  <c r="F7" i="6" s="1"/>
  <c r="F66" i="5"/>
  <c r="F67" i="5" s="1"/>
  <c r="F44" i="5"/>
  <c r="F27" i="5"/>
  <c r="F22" i="5"/>
  <c r="F70" i="5" s="1"/>
  <c r="F5" i="5"/>
  <c r="F29" i="9" l="1"/>
  <c r="F12" i="9"/>
  <c r="F28" i="9"/>
  <c r="F11" i="9"/>
  <c r="F18" i="9" s="1"/>
  <c r="F19" i="9" s="1"/>
  <c r="F20" i="9" s="1"/>
  <c r="F21" i="9" s="1"/>
  <c r="F22" i="9" s="1"/>
  <c r="F92" i="6"/>
  <c r="F34" i="6"/>
  <c r="F35" i="6"/>
  <c r="F53" i="6"/>
  <c r="F57" i="6"/>
  <c r="F65" i="6"/>
  <c r="F133" i="6"/>
  <c r="F45" i="5"/>
  <c r="F46" i="5" s="1"/>
  <c r="F23" i="5"/>
  <c r="F24" i="5" l="1"/>
  <c r="F72" i="5" s="1"/>
  <c r="F71" i="5"/>
  <c r="F23" i="9"/>
  <c r="F60" i="9" s="1"/>
  <c r="F78" i="6"/>
  <c r="F93" i="6"/>
  <c r="F94" i="6" s="1"/>
  <c r="F95" i="6" s="1"/>
  <c r="F96" i="6" s="1"/>
  <c r="F97" i="6" s="1"/>
  <c r="F99" i="6"/>
  <c r="F70" i="6"/>
  <c r="F64" i="6"/>
  <c r="F63" i="6"/>
  <c r="F27" i="6"/>
  <c r="F47" i="5"/>
  <c r="F48" i="5" s="1"/>
  <c r="F25" i="5"/>
  <c r="F26" i="5" s="1"/>
  <c r="F54" i="6" l="1"/>
  <c r="F73" i="6" s="1"/>
  <c r="F74" i="6" s="1"/>
  <c r="F73" i="5"/>
  <c r="F74" i="5" s="1"/>
  <c r="F67" i="9"/>
  <c r="F61" i="9"/>
  <c r="F117" i="6"/>
  <c r="F100" i="6"/>
  <c r="F103" i="6"/>
  <c r="F119" i="6"/>
  <c r="F6" i="6" l="1"/>
  <c r="F62" i="9"/>
  <c r="F68" i="9"/>
  <c r="F75" i="6"/>
  <c r="F128" i="6"/>
  <c r="F123" i="6"/>
  <c r="F120" i="6"/>
  <c r="F102" i="6"/>
  <c r="F101" i="6"/>
  <c r="F98" i="6" s="1"/>
  <c r="F69" i="9" l="1"/>
  <c r="F63" i="9"/>
  <c r="F76" i="6"/>
  <c r="F77" i="6" s="1"/>
  <c r="F121" i="6"/>
  <c r="F122" i="6"/>
  <c r="F129" i="6"/>
  <c r="F132" i="6"/>
  <c r="F64" i="9" l="1"/>
  <c r="F70" i="9"/>
  <c r="F71" i="9" s="1"/>
  <c r="F131" i="6"/>
  <c r="F130" i="6"/>
  <c r="F118" i="6"/>
  <c r="F127" i="6" l="1"/>
  <c r="F5" i="6" s="1"/>
  <c r="F136" i="6" l="1"/>
  <c r="F137" i="6"/>
  <c r="F143" i="6"/>
  <c r="F138" i="6" l="1"/>
  <c r="F144" i="6"/>
  <c r="F139" i="6" l="1"/>
  <c r="F140" i="6" s="1"/>
  <c r="F145" i="6"/>
  <c r="F146" i="6" s="1"/>
  <c r="F147" i="6" s="1"/>
</calcChain>
</file>

<file path=xl/sharedStrings.xml><?xml version="1.0" encoding="utf-8"?>
<sst xmlns="http://schemas.openxmlformats.org/spreadsheetml/2006/main" count="802" uniqueCount="182">
  <si>
    <t>№</t>
  </si>
  <si>
    <t>бр</t>
  </si>
  <si>
    <t>м</t>
  </si>
  <si>
    <t>Наименование</t>
  </si>
  <si>
    <t>м2</t>
  </si>
  <si>
    <t>Почистване на покрив</t>
  </si>
  <si>
    <t>Демонтаж на стари улуци</t>
  </si>
  <si>
    <t>Демонтаж на стари водосточни тръби</t>
  </si>
  <si>
    <t>Демонтаж на стари ламарини по бордовете на сградата</t>
  </si>
  <si>
    <t>Демонтаж на стара хидроизолация</t>
  </si>
  <si>
    <t>Доставка и монтаж на нови ламарини от поцинкована ламарина по бордовете на сградата</t>
  </si>
  <si>
    <t>Доставка и монтаж на нови улуци от поцинкована ламарина</t>
  </si>
  <si>
    <t>Доставка и монтаж на нови водосточни тръби от поцинкована ламарина</t>
  </si>
  <si>
    <t>Доставка и монтаж на нови водосточни казанчета от поцинкована ламарина</t>
  </si>
  <si>
    <t>Демонтаж на мълниезащита</t>
  </si>
  <si>
    <t>Възстановяване на бетонови елементи по покрива</t>
  </si>
  <si>
    <t>Изхвърляне на строителни боклуци</t>
  </si>
  <si>
    <t>Сваляне на съществуващ филц</t>
  </si>
  <si>
    <t>м3</t>
  </si>
  <si>
    <t>Доставка и монтаж на топлоизолация от XPS с d=10 см</t>
  </si>
  <si>
    <t>Доставка и монтаж на нова завършваща улама от поцинкована ламарина</t>
  </si>
  <si>
    <t>Ед.мярка</t>
  </si>
  <si>
    <t>Количество</t>
  </si>
  <si>
    <t>Доставка и монтаж на нова мълниезащитна инсталация</t>
  </si>
  <si>
    <t>Многофункционална зала</t>
  </si>
  <si>
    <t>I</t>
  </si>
  <si>
    <t>Демонтаж на стара мълниезащита</t>
  </si>
  <si>
    <t>Високо тяло</t>
  </si>
  <si>
    <t>Доставка и монтаж на нова завършваща шапка на колонки по борда на покрива от поцинкована ламарина с размери 40/58 см</t>
  </si>
  <si>
    <t>Ниско тяло - Север</t>
  </si>
  <si>
    <t>Ниско тяло - Изток</t>
  </si>
  <si>
    <t>III</t>
  </si>
  <si>
    <t>II</t>
  </si>
  <si>
    <t>Басейн</t>
  </si>
  <si>
    <t>Демонтаж на стари ламаринени шапки по колоните на бордовете на сградата</t>
  </si>
  <si>
    <t>IV</t>
  </si>
  <si>
    <t>V</t>
  </si>
  <si>
    <t>Стрелкови Комплекс</t>
  </si>
  <si>
    <t>Склад №2 "Бойни припаси" - с.Беляковец</t>
  </si>
  <si>
    <t>Вход Изток</t>
  </si>
  <si>
    <t>Вход Запад</t>
  </si>
  <si>
    <t>Доставка и монтаж на нови водосточни тръби от ламарина с ПВЦ покритие</t>
  </si>
  <si>
    <t>Доставка и монтаж на нови улуци от ламарина с ПВЦ покритие</t>
  </si>
  <si>
    <t>Доставка и монтаж на нови водосточни казанчета от  ламарина с ПВЦ покритие</t>
  </si>
  <si>
    <t>Доставка, монтаж и демонтаж на скеле</t>
  </si>
  <si>
    <t>Сграда № 38</t>
  </si>
  <si>
    <t>гр.Шумен</t>
  </si>
  <si>
    <t>Доставка и монтаж на конструкция и нова завършваща шапка по борд от поцинкована ламарина</t>
  </si>
  <si>
    <t>Сграда №8</t>
  </si>
  <si>
    <t>Доставка и монтаж на метални решетки по фасадата на сградата</t>
  </si>
  <si>
    <t>Доставка и монтаж на прозорец на фасадата на сградата</t>
  </si>
  <si>
    <t>Доставка и монтаж на решетка за фасадата на сградата - вентилация</t>
  </si>
  <si>
    <t>Доставка и монтаж на нова капандура за излизане на покрива</t>
  </si>
  <si>
    <t>Демонтаж на стара ламарина</t>
  </si>
  <si>
    <t xml:space="preserve">Основен ремонт на покрив, включително нова дървена покривна конструкция, дъшчена обшивка, покривна мембрана, летвена скара, челни дъски, топлоизолация от минерална вата с d=10 см и нова ламарина. </t>
  </si>
  <si>
    <t xml:space="preserve">Ед. Цена </t>
  </si>
  <si>
    <t>Прогнозна стойност за ремонт на покриви</t>
  </si>
  <si>
    <t>Стойност</t>
  </si>
  <si>
    <t>м'</t>
  </si>
  <si>
    <t>бр.</t>
  </si>
  <si>
    <t>Разваляне на обшивка около стари водосточни тръби</t>
  </si>
  <si>
    <t>Демонтаж на стари водосточни тръби от ламарина</t>
  </si>
  <si>
    <r>
      <t>м</t>
    </r>
    <r>
      <rPr>
        <vertAlign val="superscript"/>
        <sz val="8"/>
        <rFont val="Arial"/>
        <family val="2"/>
        <charset val="204"/>
      </rPr>
      <t>2</t>
    </r>
  </si>
  <si>
    <r>
      <t>м</t>
    </r>
    <r>
      <rPr>
        <vertAlign val="superscript"/>
        <sz val="8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</si>
  <si>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Изхвърляне на строителни отпадъци</t>
  </si>
  <si>
    <t>Доставка и монтаж на водосточно казанче от поцинкована ламарина</t>
  </si>
  <si>
    <t>Доставка и монтаж на водосточна тръба от поцинкована ламарина</t>
  </si>
  <si>
    <t>Доставка и полагане на мълниеотводно въже ф8 на опорни изолатори</t>
  </si>
  <si>
    <t>Направа на прав съединител в пластмасова кутия на фасада</t>
  </si>
  <si>
    <t>Доставка и полагане на поцинкована заземителна шина 40/4 в изкоп</t>
  </si>
  <si>
    <t>Направа на болтова заземителна връзка към съоръжение</t>
  </si>
  <si>
    <t>Подмяна на воронка с воронка с PVC пола - изолирана, с хоризонтално отичане</t>
  </si>
  <si>
    <r>
      <t>м</t>
    </r>
    <r>
      <rPr>
        <sz val="10"/>
        <rFont val="Calibri"/>
        <family val="2"/>
        <charset val="204"/>
      </rPr>
      <t>'</t>
    </r>
  </si>
  <si>
    <r>
      <t xml:space="preserve">Направа на спусъци от изолирано алуминиево въже </t>
    </r>
    <r>
      <rPr>
        <sz val="10"/>
        <rFont val="Calibri"/>
        <family val="2"/>
        <charset val="204"/>
      </rPr>
      <t>ø 8 мм</t>
    </r>
  </si>
  <si>
    <t>к-кт</t>
  </si>
  <si>
    <t>Направа на заземление от 3 бр.заземителни кола</t>
  </si>
  <si>
    <t>Изпитване на мълниезащитна инсталация и изготвяне на протокол</t>
  </si>
  <si>
    <r>
      <t xml:space="preserve">Доставка и монтаж на PVC тръби муфени с фасонни части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  <charset val="204"/>
      </rPr>
      <t xml:space="preserve"> 110/2,2</t>
    </r>
  </si>
  <si>
    <t>Очукване на на вароциментова мазилка мазилка около около вертикален щранг на отводнителна инсталация</t>
  </si>
  <si>
    <t xml:space="preserve">Облицовка с гипскартон и топлоизолация на метална конструкция </t>
  </si>
  <si>
    <t xml:space="preserve">Боядисване шпакловани стени с цветен латекс, двукратно, вкл. грунд </t>
  </si>
  <si>
    <t>Сграда № 34 - 5 учебен корпус</t>
  </si>
  <si>
    <t xml:space="preserve">       - блок 1</t>
  </si>
  <si>
    <t xml:space="preserve">       - блок 2</t>
  </si>
  <si>
    <t xml:space="preserve">       - блок 3</t>
  </si>
  <si>
    <t xml:space="preserve">       - блок 4</t>
  </si>
  <si>
    <t xml:space="preserve">       - блок 5</t>
  </si>
  <si>
    <t xml:space="preserve">       - блок 6</t>
  </si>
  <si>
    <t xml:space="preserve">       - трафопост</t>
  </si>
  <si>
    <t>Демонтаж на стари олуци</t>
  </si>
  <si>
    <t>Oбшивка на покрив с поцинкована ламарина  0,5 мм, вкл.просичане улей и изкърпване мазилка</t>
  </si>
  <si>
    <t>Подмяна на воронка с воронка с PVC пола</t>
  </si>
  <si>
    <t>Демонтаж на обшивка от ламарина</t>
  </si>
  <si>
    <t>Демонтаж на шапки по бордовете на сградата</t>
  </si>
  <si>
    <t xml:space="preserve">       - козирка</t>
  </si>
  <si>
    <t xml:space="preserve">Доставка и монтаж на мълниеотводен прът h=5 м с изпреварващо действие 30 милисекунди с радиус на действие R= 30 m, включително монтаж </t>
  </si>
  <si>
    <t>Доставка и монтаж на мълниеотводен прът h=5 м с изпреварващо действие 30 милисекунди с радиус на действие R=60 m</t>
  </si>
  <si>
    <r>
      <t>м</t>
    </r>
    <r>
      <rPr>
        <vertAlign val="superscript"/>
        <sz val="8"/>
        <rFont val="Calibri"/>
        <family val="2"/>
        <charset val="204"/>
      </rPr>
      <t>'</t>
    </r>
  </si>
  <si>
    <r>
      <t>м</t>
    </r>
    <r>
      <rPr>
        <vertAlign val="superscript"/>
        <sz val="8"/>
        <rFont val="Arial"/>
        <family val="2"/>
        <charset val="204"/>
      </rPr>
      <t>3</t>
    </r>
  </si>
  <si>
    <t>Доставка и монтаж на мълниеотводен прът h=5 м с изпреварващо действие 30 милисекунди с радиус на действие R=25m</t>
  </si>
  <si>
    <t>Доставка и монтаж на мълниеотводен прът h=5 м с изпреварващо действие 30 милисекунди с радиус на действие R= 100 m.</t>
  </si>
  <si>
    <t>Боядисване с фасаген по надзид двустранно</t>
  </si>
  <si>
    <t>Вароциментова мазилка по надзид</t>
  </si>
  <si>
    <t>Грундиране върху мазилка</t>
  </si>
  <si>
    <t>Доставка и монтаж на мълниеотводен прът h=5 м с изпреварващо действие 30 милисекунди с радиус на действие R= 60 m</t>
  </si>
  <si>
    <r>
      <t>м</t>
    </r>
    <r>
      <rPr>
        <vertAlign val="superscript"/>
        <sz val="10"/>
        <rFont val="Arial"/>
        <family val="2"/>
        <charset val="204"/>
      </rPr>
      <t>2</t>
    </r>
  </si>
  <si>
    <t>Демонтаж на стари водосточни тръби от PVC</t>
  </si>
  <si>
    <r>
      <t xml:space="preserve">Доставка и полагане на мълниеотводно въже </t>
    </r>
    <r>
      <rPr>
        <sz val="10"/>
        <rFont val="Calibri"/>
        <family val="2"/>
        <charset val="204"/>
      </rPr>
      <t>ø</t>
    </r>
    <r>
      <rPr>
        <sz val="10"/>
        <rFont val="Arial"/>
        <family val="2"/>
        <charset val="204"/>
      </rPr>
      <t>8 на опорни изолатори</t>
    </r>
  </si>
  <si>
    <t>Направа на обшивка около нови водосточни тръби от гипскартон</t>
  </si>
  <si>
    <t>Грундиране върху гипскартон</t>
  </si>
  <si>
    <t>Обшивка на  улами от поцинкована ламарина</t>
  </si>
  <si>
    <t>Демонтаж на стари шапки от ламарина върху колони</t>
  </si>
  <si>
    <t>Демонтаж на барбакан и монтаж на водосточно казанче от поцинкована ламарина на барбакан</t>
  </si>
  <si>
    <r>
      <t>м</t>
    </r>
    <r>
      <rPr>
        <vertAlign val="superscript"/>
        <sz val="9"/>
        <rFont val="Arial"/>
        <family val="2"/>
        <charset val="204"/>
      </rPr>
      <t>3</t>
    </r>
  </si>
  <si>
    <t>Доставка и монтаж на мълниеотводен прът h=5 м с изпреварващо действие 30 милисекунди с радиус на действие R= 40 m</t>
  </si>
  <si>
    <t>Демонтаж на барбакан</t>
  </si>
  <si>
    <t>Направа на отвор и монтаж на барбакан</t>
  </si>
  <si>
    <t>Доставка и монтаж на мълниеотводен прът h=5 м с изпреварващо действие 30 милисекунди с радиус на действие R= 30 m</t>
  </si>
  <si>
    <t>Обшивка от ламарина с PVC покритие по козирки с водооткапване</t>
  </si>
  <si>
    <t xml:space="preserve">Доставка и монтаж на нова мълниезащитна инсталация от бетонно желязо ø8 на </t>
  </si>
  <si>
    <t>ВСИЧКО :</t>
  </si>
  <si>
    <t>ДДС 20% :</t>
  </si>
  <si>
    <t>ОКОНЧАТЕЛНА СУМА :</t>
  </si>
  <si>
    <t>10% НЕПРЕДВИДЕНИ РАЗХОДИ :</t>
  </si>
  <si>
    <t>Обшивка от ламарина с PVC покритие по покривна плоча с водооткапване</t>
  </si>
  <si>
    <r>
      <t>м</t>
    </r>
    <r>
      <rPr>
        <vertAlign val="superscript"/>
        <sz val="8"/>
        <rFont val="Arial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</si>
  <si>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Доставка и монтаж на нови водосточни тръби от поцинкована ламарина със заутсване в дъждовната канализация</t>
  </si>
  <si>
    <t>Доставка и монтаж на кабели против обледе-няване по водосточни тръби  с дължина 4,5 м и воронки с принадлежности за закрепване</t>
  </si>
  <si>
    <t xml:space="preserve">Демонтаж и монтаж на подорозоречни алуминиеви дъски </t>
  </si>
  <si>
    <t>Доставка и монтаж на подпрозоречни дъски от поцинкована ламарина пред съществуващи железни прозорци по мярка от място</t>
  </si>
  <si>
    <t>Корекция със замазка на борд  за монтаж на дъски от поцинкована ламарина пред съществуващи железни прозорци</t>
  </si>
  <si>
    <t>Доставка и монтаж на нова завършваща шапка на колони по борда на покрива от поцинкована ламарина с размери 40/58 см</t>
  </si>
  <si>
    <t>Доставка и монтаж на нови водосточни тръби от PVC</t>
  </si>
  <si>
    <r>
      <t>м</t>
    </r>
    <r>
      <rPr>
        <vertAlign val="superscript"/>
        <sz val="10"/>
        <rFont val="Arial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</si>
  <si>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м</t>
    </r>
    <r>
      <rPr>
        <vertAlign val="superscript"/>
        <sz val="10"/>
        <rFont val="Arial"/>
        <family val="2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</si>
  <si>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Доставка и монтаж на кабели против обледе-няване по водосточни тръби  с дължина 7,5 м и воронки с принадлежности за закрепване</t>
  </si>
  <si>
    <t>Доставка и монтаж на кабели против обледе-няване по водосточни тръби  с дължина 10 м и казанчета с принадлежности за закрепване</t>
  </si>
  <si>
    <t>Доставка, окомплектоване и монтаж на микро-процесорно управление и кабели за управление на отопление на водосточни тръби с LED екран с 4 цифрови сензора за покрив отчитащи едновременно влага и температура</t>
  </si>
  <si>
    <t>Направа на нова замазка за наклон, с корекци на неравности и вдлъбнатини</t>
  </si>
  <si>
    <t>Ед. мярка</t>
  </si>
  <si>
    <t>Коли-чество</t>
  </si>
  <si>
    <t>Надзидждане на съществуващи бордове с 25 см</t>
  </si>
  <si>
    <t>НЕПРЕДВИДЕНИ РАЗХОДИ 10 %:</t>
  </si>
  <si>
    <t>ВСИЧКО ЗА ОБЕКТА:</t>
  </si>
  <si>
    <t>ЗА ПОЗИЦИЯ № 2</t>
  </si>
  <si>
    <t>СМР:</t>
  </si>
  <si>
    <t>Всичко СМР:</t>
  </si>
  <si>
    <t>Просичане на улей в стоманобетонова стена до 20 см с електрически къртач</t>
  </si>
  <si>
    <t xml:space="preserve">Вароциментова мазилка с готова смес </t>
  </si>
  <si>
    <t>ЗА ПОЗИЦИЯ № 3</t>
  </si>
  <si>
    <t>Доставка и монтаж на конструкция и нова завър-шваща шапка по борд от поцинкована ламарина</t>
  </si>
  <si>
    <t>ЗА ПОЗИЦИЯ № 4</t>
  </si>
  <si>
    <r>
      <t>Доставка и монтаж на топлоизолация XPS с d=10</t>
    </r>
    <r>
      <rPr>
        <sz val="9"/>
        <rFont val="Arial"/>
        <family val="2"/>
        <charset val="204"/>
      </rPr>
      <t>см</t>
    </r>
  </si>
  <si>
    <t>Доставка и монтаж на конструкция и нова завършваща шапка по борд от поцинкована ламарина, включително и 5 бр. подпрозоречни дъски</t>
  </si>
  <si>
    <t>Подмяна на барбакан 35/15см</t>
  </si>
  <si>
    <t>Облицовка с гипскартон и топлоизолация на метална конструкция, вкл. и шпакловане</t>
  </si>
  <si>
    <t xml:space="preserve">Боядисване шпакловани стени с цветен латекс, двукратно </t>
  </si>
  <si>
    <t>Доставка и монтаж на кабели против обледе-няване по водосточни тръби и воронки с дъл-жина 4,5 м с принадлежности за закрепване</t>
  </si>
  <si>
    <r>
      <rPr>
        <sz val="9"/>
        <rFont val="Arial"/>
        <family val="2"/>
        <charset val="204"/>
      </rPr>
      <t>м</t>
    </r>
    <r>
      <rPr>
        <vertAlign val="superscript"/>
        <sz val="9"/>
        <rFont val="Arial"/>
        <family val="2"/>
        <charset val="204"/>
      </rPr>
      <t>2</t>
    </r>
  </si>
  <si>
    <r>
      <rPr>
        <sz val="9"/>
        <rFont val="Arial"/>
        <family val="2"/>
        <charset val="204"/>
      </rPr>
      <t>м</t>
    </r>
    <r>
      <rPr>
        <vertAlign val="superscript"/>
        <sz val="9"/>
        <rFont val="Arial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</si>
  <si>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 xml:space="preserve">ВСИЧКО СГРАДА </t>
    </r>
    <r>
      <rPr>
        <b/>
        <sz val="10"/>
        <rFont val="Calibri"/>
        <family val="2"/>
        <charset val="204"/>
      </rPr>
      <t>№</t>
    </r>
    <r>
      <rPr>
        <b/>
        <sz val="10"/>
        <rFont val="Arial"/>
        <family val="2"/>
        <charset val="204"/>
      </rPr>
      <t xml:space="preserve"> 8 :</t>
    </r>
  </si>
  <si>
    <t>ЗА ПОЗИЦИЯ № 5</t>
  </si>
  <si>
    <t>Склад №1 "Въоръжение" - с.Беляковец</t>
  </si>
  <si>
    <t>НЕПРЕДВИДЕНИ РАЗХОДИ 10%:</t>
  </si>
  <si>
    <t>ВСИЧКО СМР:</t>
  </si>
  <si>
    <t>Склад №3 "Инженерно и Химическо имущество"- с.Беляковец</t>
  </si>
  <si>
    <t>ЗА ПОЗИЦИЯ № 1</t>
  </si>
  <si>
    <r>
      <t xml:space="preserve">Ремонт на покрив на Спортен комплекс във факултет </t>
    </r>
    <r>
      <rPr>
        <b/>
        <i/>
        <sz val="11"/>
        <rFont val="Calibri"/>
        <family val="2"/>
        <charset val="204"/>
      </rPr>
      <t>“</t>
    </r>
    <r>
      <rPr>
        <b/>
        <i/>
        <sz val="11"/>
        <rFont val="Arial"/>
        <family val="2"/>
        <charset val="204"/>
      </rPr>
      <t>Общовойскови</t>
    </r>
    <r>
      <rPr>
        <b/>
        <i/>
        <sz val="11"/>
        <rFont val="Calibri"/>
        <family val="2"/>
        <charset val="204"/>
      </rPr>
      <t>”</t>
    </r>
  </si>
  <si>
    <t>сграда № 16 Работилница - автоучастък във ВР № 1195</t>
  </si>
  <si>
    <t>сграда № 24 Гаражи във ВР № 1195</t>
  </si>
  <si>
    <t>сграда № 40 - Гаражи във ВР № 1195</t>
  </si>
  <si>
    <t>Сграда № 22, 46 и 47 - Работилница във ВР № 1195</t>
  </si>
  <si>
    <t>Сграда №8 - покрив Зала 2 Етаж</t>
  </si>
  <si>
    <t>Доставка и монтаж на кабели против обледе-няване по водосточни тръби и воронки с дъл-жина 5 м с принадлежности за закрепване и захранваща кабелна инсталация</t>
  </si>
  <si>
    <t>Направа на нова замазка за наклон, с корекции на неравности и вдлъбнатини</t>
  </si>
  <si>
    <t>Oбшивка на покрив с поцинкована ламарина  0,5 мм, вкл.просичане улей и изкърпване на мазилка</t>
  </si>
  <si>
    <t>Очукване на вароциментова мазилка</t>
  </si>
  <si>
    <t>Доставка и монтаж на нова завършваща шапка на колонки и пиластри по борда на покрива от поцинкована ламарина по размери от място</t>
  </si>
  <si>
    <t xml:space="preserve">Демонтаж на облицовка от стари плочки пред прозорци и по борд. </t>
  </si>
  <si>
    <t>Очукване на на вароциментова мазилка около около вертикален щранг на отводнителна инсталация</t>
  </si>
  <si>
    <t>Доставка и монтаж на хидроизолация от PVC мембрана с d=1.5 мм</t>
  </si>
  <si>
    <t>Доставка и монтаж на хидроизолация от ПВЦ мембрана с d=1.5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</si>
</sst>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лв&quot;_-;\-* #,##0.00\ &quot;лв&quot;_-;_-* &quot;-&quot;??\ &quot;лв&quot;_-;_-@_-"/>
    <numFmt numFmtId="165" formatCode="_-* #,##0.00\ [$лв.-402]_-;\-* #,##0.00\ [$лв.-402]_-;_-* &quot;-&quot;??\ [$лв.-402]_-;_-@_-"/>
    <numFmt numFmtId="166" formatCode="_-* #,##0\ [$лв.-402]_-;\-* #,##0\ [$лв.-402]_-;_-* &quot;-&quot;??\ [$лв.-402]_-;_-@_-"/>
    <numFmt numFmtId="167" formatCode="#,##0.0"/>
    <numFmt numFmtId="168" formatCode="_-* #,##0.0\ [$лв.-402]_-;\-* #,##0.0\ [$лв.-402]_-;_-* &quot;-&quot;??\ [$лв.-402]_-;_-@_-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vertAlign val="superscript"/>
      <sz val="8"/>
      <name val="Arial"/>
      <family val="2"/>
      <charset val="204"/>
    </font>
    <font>
      <sz val="10"/>
      <name val="Calibri"/>
      <family val="2"/>
      <charset val="204"/>
    </font>
    <font>
      <sz val="10"/>
      <color indexed="8"/>
      <name val="Arial"/>
      <family val="2"/>
      <charset val="204"/>
    </font>
    <font>
      <vertAlign val="superscript"/>
      <sz val="8"/>
      <name val="Calibri"/>
      <family val="2"/>
      <charset val="204"/>
    </font>
    <font>
      <vertAlign val="superscript"/>
      <sz val="10"/>
      <name val="Arial"/>
      <family val="2"/>
      <charset val="204"/>
    </font>
    <font>
      <vertAlign val="superscript"/>
      <sz val="9"/>
      <name val="Arial"/>
      <family val="2"/>
      <charset val="204"/>
    </font>
    <font>
      <b/>
      <sz val="10"/>
      <name val="Calibri"/>
      <family val="2"/>
      <charset val="204"/>
    </font>
    <font>
      <b/>
      <sz val="9"/>
      <name val="Arial"/>
      <family val="2"/>
      <charset val="204"/>
    </font>
    <font>
      <b/>
      <i/>
      <sz val="11"/>
      <name val="Calibri Light"/>
      <charset val="204"/>
      <scheme val="major"/>
    </font>
    <font>
      <b/>
      <i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1"/>
      <name val="Calibri"/>
      <family val="2"/>
      <charset val="204"/>
    </font>
    <font>
      <b/>
      <vertAlign val="subscript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1"/>
    <xf numFmtId="0" fontId="9" fillId="0" borderId="1" applyBorder="0" applyProtection="0"/>
  </cellStyleXfs>
  <cellXfs count="88">
    <xf numFmtId="0" fontId="0" fillId="0" borderId="0" xfId="0"/>
    <xf numFmtId="0" fontId="3" fillId="0" borderId="2" xfId="0" applyFont="1" applyBorder="1" applyAlignment="1">
      <alignment wrapText="1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4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 wrapText="1"/>
    </xf>
    <xf numFmtId="165" fontId="0" fillId="0" borderId="2" xfId="0" applyNumberForma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166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top"/>
    </xf>
    <xf numFmtId="4" fontId="0" fillId="0" borderId="0" xfId="0" applyNumberFormat="1" applyFill="1" applyAlignment="1">
      <alignment vertical="top"/>
    </xf>
    <xf numFmtId="165" fontId="4" fillId="0" borderId="2" xfId="0" applyNumberFormat="1" applyFont="1" applyFill="1" applyBorder="1" applyAlignment="1">
      <alignment vertical="top"/>
    </xf>
    <xf numFmtId="167" fontId="0" fillId="0" borderId="2" xfId="0" applyNumberForma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top"/>
    </xf>
    <xf numFmtId="0" fontId="0" fillId="0" borderId="0" xfId="0" applyFill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Alignment="1">
      <alignment vertical="top"/>
    </xf>
    <xf numFmtId="165" fontId="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top"/>
    </xf>
    <xf numFmtId="165" fontId="3" fillId="0" borderId="1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5" fontId="0" fillId="0" borderId="3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3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168" fontId="0" fillId="0" borderId="2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166" fontId="0" fillId="0" borderId="3" xfId="0" applyNumberForma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164" fontId="0" fillId="0" borderId="0" xfId="0" applyNumberFormat="1" applyFill="1" applyAlignment="1">
      <alignment vertical="top"/>
    </xf>
    <xf numFmtId="2" fontId="0" fillId="0" borderId="2" xfId="0" applyNumberForma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vertical="center" wrapText="1"/>
    </xf>
    <xf numFmtId="165" fontId="0" fillId="0" borderId="7" xfId="0" applyNumberFormat="1" applyFill="1" applyBorder="1" applyAlignment="1">
      <alignment horizontal="center" vertical="center"/>
    </xf>
    <xf numFmtId="0" fontId="19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top"/>
    </xf>
    <xf numFmtId="0" fontId="19" fillId="0" borderId="7" xfId="0" applyFont="1" applyFill="1" applyBorder="1" applyAlignment="1">
      <alignment wrapText="1"/>
    </xf>
    <xf numFmtId="165" fontId="0" fillId="0" borderId="8" xfId="0" applyNumberFormat="1" applyFill="1" applyBorder="1" applyAlignment="1">
      <alignment horizontal="center" vertical="center"/>
    </xf>
    <xf numFmtId="166" fontId="0" fillId="0" borderId="7" xfId="0" applyNumberForma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top"/>
    </xf>
    <xf numFmtId="0" fontId="16" fillId="0" borderId="0" xfId="0" applyFont="1" applyFill="1" applyAlignment="1">
      <alignment horizontal="center" vertical="top"/>
    </xf>
    <xf numFmtId="0" fontId="19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4"/>
  <sheetViews>
    <sheetView tabSelected="1" workbookViewId="0">
      <pane ySplit="4" topLeftCell="A5" activePane="bottomLeft" state="frozen"/>
      <selection pane="bottomLeft" activeCell="B12" sqref="B12"/>
    </sheetView>
  </sheetViews>
  <sheetFormatPr defaultRowHeight="12.75" x14ac:dyDescent="0.2"/>
  <cols>
    <col min="1" max="1" width="3.7109375" style="16" customWidth="1"/>
    <col min="2" max="2" width="42.140625" style="17" customWidth="1"/>
    <col min="3" max="3" width="5.7109375" style="18" customWidth="1"/>
    <col min="4" max="4" width="12" style="19" customWidth="1"/>
    <col min="5" max="5" width="10.5703125" style="19" customWidth="1"/>
    <col min="6" max="6" width="16.42578125" style="19" customWidth="1"/>
    <col min="7" max="16384" width="9.140625" style="5"/>
  </cols>
  <sheetData>
    <row r="2" spans="1:6" ht="15" customHeight="1" x14ac:dyDescent="0.2">
      <c r="A2" s="80" t="s">
        <v>56</v>
      </c>
      <c r="B2" s="80"/>
      <c r="C2" s="80"/>
      <c r="D2" s="80"/>
      <c r="E2" s="80"/>
      <c r="F2" s="80"/>
    </row>
    <row r="4" spans="1:6" s="26" customFormat="1" ht="32.25" customHeight="1" x14ac:dyDescent="0.2">
      <c r="A4" s="2" t="s">
        <v>0</v>
      </c>
      <c r="B4" s="10" t="s">
        <v>3</v>
      </c>
      <c r="C4" s="70" t="s">
        <v>139</v>
      </c>
      <c r="D4" s="11" t="s">
        <v>22</v>
      </c>
      <c r="E4" s="11" t="s">
        <v>55</v>
      </c>
      <c r="F4" s="11" t="s">
        <v>57</v>
      </c>
    </row>
    <row r="5" spans="1:6" s="27" customFormat="1" ht="15" customHeight="1" x14ac:dyDescent="0.2">
      <c r="A5" s="83" t="s">
        <v>162</v>
      </c>
      <c r="B5" s="83"/>
      <c r="C5" s="83"/>
      <c r="D5" s="83"/>
      <c r="E5" s="68"/>
      <c r="F5" s="20">
        <f>SUM(F6:F21)</f>
        <v>0</v>
      </c>
    </row>
    <row r="6" spans="1:6" x14ac:dyDescent="0.2">
      <c r="A6" s="3">
        <v>1</v>
      </c>
      <c r="B6" s="7" t="s">
        <v>26</v>
      </c>
      <c r="C6" s="4" t="s">
        <v>62</v>
      </c>
      <c r="D6" s="6">
        <v>220</v>
      </c>
      <c r="E6" s="8"/>
      <c r="F6" s="8">
        <f>ROUND(D6*E6,2)</f>
        <v>0</v>
      </c>
    </row>
    <row r="7" spans="1:6" ht="15" x14ac:dyDescent="0.2">
      <c r="A7" s="3">
        <v>2</v>
      </c>
      <c r="B7" s="7" t="s">
        <v>9</v>
      </c>
      <c r="C7" s="4" t="s">
        <v>125</v>
      </c>
      <c r="D7" s="6">
        <f>37*13+60</f>
        <v>541</v>
      </c>
      <c r="E7" s="8"/>
      <c r="F7" s="8">
        <f>ROUND(D7*E7,2)</f>
        <v>0</v>
      </c>
    </row>
    <row r="8" spans="1:6" ht="25.5" x14ac:dyDescent="0.2">
      <c r="A8" s="3">
        <v>3</v>
      </c>
      <c r="B8" s="7" t="s">
        <v>8</v>
      </c>
      <c r="C8" s="4" t="s">
        <v>72</v>
      </c>
      <c r="D8" s="6">
        <v>63</v>
      </c>
      <c r="E8" s="8"/>
      <c r="F8" s="8">
        <f t="shared" ref="F8:F21" si="0">ROUND(D8*E8,2)</f>
        <v>0</v>
      </c>
    </row>
    <row r="9" spans="1:6" ht="25.5" x14ac:dyDescent="0.2">
      <c r="A9" s="3">
        <v>4</v>
      </c>
      <c r="B9" s="9" t="s">
        <v>174</v>
      </c>
      <c r="C9" s="4" t="s">
        <v>62</v>
      </c>
      <c r="D9" s="6">
        <f>D7</f>
        <v>541</v>
      </c>
      <c r="E9" s="8"/>
      <c r="F9" s="8">
        <f t="shared" si="0"/>
        <v>0</v>
      </c>
    </row>
    <row r="10" spans="1:6" ht="25.5" x14ac:dyDescent="0.2">
      <c r="A10" s="3">
        <v>5</v>
      </c>
      <c r="B10" s="9" t="s">
        <v>118</v>
      </c>
      <c r="C10" s="4" t="s">
        <v>62</v>
      </c>
      <c r="D10" s="6">
        <f>(37+34)*0.3</f>
        <v>21.3</v>
      </c>
      <c r="E10" s="8"/>
      <c r="F10" s="8">
        <f t="shared" si="0"/>
        <v>0</v>
      </c>
    </row>
    <row r="11" spans="1:6" ht="25.5" x14ac:dyDescent="0.2">
      <c r="A11" s="3">
        <v>6</v>
      </c>
      <c r="B11" s="7" t="s">
        <v>19</v>
      </c>
      <c r="C11" s="4" t="s">
        <v>62</v>
      </c>
      <c r="D11" s="6">
        <f>D7</f>
        <v>541</v>
      </c>
      <c r="E11" s="8"/>
      <c r="F11" s="8">
        <f t="shared" si="0"/>
        <v>0</v>
      </c>
    </row>
    <row r="12" spans="1:6" ht="25.5" x14ac:dyDescent="0.2">
      <c r="A12" s="3">
        <v>7</v>
      </c>
      <c r="B12" s="9" t="s">
        <v>180</v>
      </c>
      <c r="C12" s="4" t="s">
        <v>62</v>
      </c>
      <c r="D12" s="6">
        <v>643.6</v>
      </c>
      <c r="E12" s="8"/>
      <c r="F12" s="8">
        <f t="shared" si="0"/>
        <v>0</v>
      </c>
    </row>
    <row r="13" spans="1:6" ht="38.25" x14ac:dyDescent="0.2">
      <c r="A13" s="3">
        <v>8</v>
      </c>
      <c r="B13" s="7" t="s">
        <v>47</v>
      </c>
      <c r="C13" s="4" t="s">
        <v>62</v>
      </c>
      <c r="D13" s="6">
        <f>(37+2*13)*0.4</f>
        <v>25.200000000000003</v>
      </c>
      <c r="E13" s="8"/>
      <c r="F13" s="8">
        <f t="shared" si="0"/>
        <v>0</v>
      </c>
    </row>
    <row r="14" spans="1:6" ht="25.5" x14ac:dyDescent="0.2">
      <c r="A14" s="3">
        <v>9</v>
      </c>
      <c r="B14" s="7" t="s">
        <v>20</v>
      </c>
      <c r="C14" s="4" t="s">
        <v>62</v>
      </c>
      <c r="D14" s="6">
        <v>9.0500000000000007</v>
      </c>
      <c r="E14" s="8"/>
      <c r="F14" s="8">
        <f t="shared" si="0"/>
        <v>0</v>
      </c>
    </row>
    <row r="15" spans="1:6" ht="25.5" x14ac:dyDescent="0.2">
      <c r="A15" s="3">
        <v>10</v>
      </c>
      <c r="B15" s="9" t="s">
        <v>119</v>
      </c>
      <c r="C15" s="4" t="s">
        <v>72</v>
      </c>
      <c r="D15" s="6">
        <v>220</v>
      </c>
      <c r="E15" s="8"/>
      <c r="F15" s="8">
        <f t="shared" si="0"/>
        <v>0</v>
      </c>
    </row>
    <row r="16" spans="1:6" ht="25.5" x14ac:dyDescent="0.2">
      <c r="A16" s="3">
        <v>11</v>
      </c>
      <c r="B16" s="7" t="s">
        <v>68</v>
      </c>
      <c r="C16" s="3" t="s">
        <v>59</v>
      </c>
      <c r="D16" s="13">
        <v>4</v>
      </c>
      <c r="E16" s="8"/>
      <c r="F16" s="8">
        <f t="shared" si="0"/>
        <v>0</v>
      </c>
    </row>
    <row r="17" spans="1:6" ht="25.5" x14ac:dyDescent="0.2">
      <c r="A17" s="3">
        <v>12</v>
      </c>
      <c r="B17" s="7" t="s">
        <v>69</v>
      </c>
      <c r="C17" s="4" t="s">
        <v>2</v>
      </c>
      <c r="D17" s="6">
        <v>48</v>
      </c>
      <c r="E17" s="8"/>
      <c r="F17" s="8">
        <f t="shared" si="0"/>
        <v>0</v>
      </c>
    </row>
    <row r="18" spans="1:6" ht="25.5" x14ac:dyDescent="0.2">
      <c r="A18" s="3">
        <v>13</v>
      </c>
      <c r="B18" s="7" t="s">
        <v>70</v>
      </c>
      <c r="C18" s="3" t="s">
        <v>59</v>
      </c>
      <c r="D18" s="13">
        <v>4</v>
      </c>
      <c r="E18" s="8"/>
      <c r="F18" s="8">
        <f t="shared" si="0"/>
        <v>0</v>
      </c>
    </row>
    <row r="19" spans="1:6" ht="25.5" x14ac:dyDescent="0.2">
      <c r="A19" s="3">
        <v>14</v>
      </c>
      <c r="B19" s="9" t="s">
        <v>75</v>
      </c>
      <c r="C19" s="4" t="s">
        <v>74</v>
      </c>
      <c r="D19" s="13">
        <v>4</v>
      </c>
      <c r="E19" s="8"/>
      <c r="F19" s="8">
        <f t="shared" si="0"/>
        <v>0</v>
      </c>
    </row>
    <row r="20" spans="1:6" ht="25.5" x14ac:dyDescent="0.2">
      <c r="A20" s="37">
        <v>15</v>
      </c>
      <c r="B20" s="42" t="s">
        <v>76</v>
      </c>
      <c r="C20" s="43" t="s">
        <v>59</v>
      </c>
      <c r="D20" s="44">
        <v>1</v>
      </c>
      <c r="E20" s="45"/>
      <c r="F20" s="38">
        <f t="shared" si="0"/>
        <v>0</v>
      </c>
    </row>
    <row r="21" spans="1:6" ht="13.5" x14ac:dyDescent="0.2">
      <c r="A21" s="3">
        <v>16</v>
      </c>
      <c r="B21" s="9" t="s">
        <v>64</v>
      </c>
      <c r="C21" s="4" t="s">
        <v>113</v>
      </c>
      <c r="D21" s="6">
        <v>13.9</v>
      </c>
      <c r="E21" s="8"/>
      <c r="F21" s="8">
        <f t="shared" si="0"/>
        <v>0</v>
      </c>
    </row>
    <row r="22" spans="1:6" x14ac:dyDescent="0.2">
      <c r="A22" s="39"/>
      <c r="B22" s="40"/>
      <c r="C22" s="51"/>
      <c r="D22" s="41"/>
      <c r="E22" s="31" t="s">
        <v>120</v>
      </c>
      <c r="F22" s="31">
        <f>SUM(F6:F21)</f>
        <v>0</v>
      </c>
    </row>
    <row r="23" spans="1:6" x14ac:dyDescent="0.2">
      <c r="A23" s="39"/>
      <c r="B23" s="40"/>
      <c r="C23" s="51"/>
      <c r="D23" s="41"/>
      <c r="E23" s="33" t="s">
        <v>163</v>
      </c>
      <c r="F23" s="32">
        <f>0.1*F22</f>
        <v>0</v>
      </c>
    </row>
    <row r="24" spans="1:6" x14ac:dyDescent="0.2">
      <c r="A24" s="39"/>
      <c r="B24" s="40"/>
      <c r="C24" s="51"/>
      <c r="D24" s="41"/>
      <c r="E24" s="29" t="s">
        <v>164</v>
      </c>
      <c r="F24" s="31">
        <f>SUM(F22:F23)</f>
        <v>0</v>
      </c>
    </row>
    <row r="25" spans="1:6" x14ac:dyDescent="0.2">
      <c r="A25" s="39"/>
      <c r="B25" s="40"/>
      <c r="C25" s="51"/>
      <c r="D25" s="41"/>
      <c r="E25" s="33" t="s">
        <v>121</v>
      </c>
      <c r="F25" s="32">
        <f>0.2*F24</f>
        <v>0</v>
      </c>
    </row>
    <row r="26" spans="1:6" x14ac:dyDescent="0.2">
      <c r="A26" s="39"/>
      <c r="B26" s="40"/>
      <c r="C26" s="51"/>
      <c r="D26" s="58"/>
      <c r="E26" s="29" t="s">
        <v>122</v>
      </c>
      <c r="F26" s="31">
        <f>SUM(F24:F25)</f>
        <v>0</v>
      </c>
    </row>
    <row r="27" spans="1:6" ht="14.25" customHeight="1" x14ac:dyDescent="0.2">
      <c r="A27" s="84" t="s">
        <v>38</v>
      </c>
      <c r="B27" s="84"/>
      <c r="C27" s="84"/>
      <c r="D27" s="84"/>
      <c r="E27" s="69"/>
      <c r="F27" s="20">
        <f>SUM(F28:F43)</f>
        <v>0</v>
      </c>
    </row>
    <row r="28" spans="1:6" x14ac:dyDescent="0.2">
      <c r="A28" s="3">
        <v>1</v>
      </c>
      <c r="B28" s="7" t="s">
        <v>26</v>
      </c>
      <c r="C28" s="4" t="s">
        <v>62</v>
      </c>
      <c r="D28" s="6">
        <v>220</v>
      </c>
      <c r="E28" s="8"/>
      <c r="F28" s="8">
        <f>ROUND(D28*E28,2)</f>
        <v>0</v>
      </c>
    </row>
    <row r="29" spans="1:6" ht="15" x14ac:dyDescent="0.2">
      <c r="A29" s="3">
        <v>2</v>
      </c>
      <c r="B29" s="47" t="s">
        <v>9</v>
      </c>
      <c r="C29" s="48" t="s">
        <v>125</v>
      </c>
      <c r="D29" s="49">
        <f>37*13+60</f>
        <v>541</v>
      </c>
      <c r="E29" s="50"/>
      <c r="F29" s="50">
        <f>ROUND(D29*E29,2)</f>
        <v>0</v>
      </c>
    </row>
    <row r="30" spans="1:6" ht="25.5" x14ac:dyDescent="0.2">
      <c r="A30" s="3">
        <v>3</v>
      </c>
      <c r="B30" s="7" t="s">
        <v>8</v>
      </c>
      <c r="C30" s="4" t="s">
        <v>72</v>
      </c>
      <c r="D30" s="6">
        <v>63</v>
      </c>
      <c r="E30" s="8"/>
      <c r="F30" s="8">
        <f t="shared" ref="F30:F43" si="1">ROUND(D30*E30,2)</f>
        <v>0</v>
      </c>
    </row>
    <row r="31" spans="1:6" ht="25.5" x14ac:dyDescent="0.2">
      <c r="A31" s="3">
        <v>4</v>
      </c>
      <c r="B31" s="9" t="s">
        <v>174</v>
      </c>
      <c r="C31" s="4" t="s">
        <v>62</v>
      </c>
      <c r="D31" s="6">
        <f>D29</f>
        <v>541</v>
      </c>
      <c r="E31" s="8"/>
      <c r="F31" s="8">
        <f t="shared" si="1"/>
        <v>0</v>
      </c>
    </row>
    <row r="32" spans="1:6" ht="25.5" x14ac:dyDescent="0.2">
      <c r="A32" s="3">
        <v>5</v>
      </c>
      <c r="B32" s="9" t="s">
        <v>118</v>
      </c>
      <c r="C32" s="4" t="s">
        <v>62</v>
      </c>
      <c r="D32" s="6">
        <f>(37+34)*0.3</f>
        <v>21.3</v>
      </c>
      <c r="E32" s="8"/>
      <c r="F32" s="8">
        <f t="shared" si="1"/>
        <v>0</v>
      </c>
    </row>
    <row r="33" spans="1:6" ht="25.5" x14ac:dyDescent="0.2">
      <c r="A33" s="3">
        <v>6</v>
      </c>
      <c r="B33" s="7" t="s">
        <v>19</v>
      </c>
      <c r="C33" s="4" t="s">
        <v>62</v>
      </c>
      <c r="D33" s="6">
        <f>D29</f>
        <v>541</v>
      </c>
      <c r="E33" s="8"/>
      <c r="F33" s="8">
        <f t="shared" si="1"/>
        <v>0</v>
      </c>
    </row>
    <row r="34" spans="1:6" ht="25.5" x14ac:dyDescent="0.2">
      <c r="A34" s="3">
        <v>7</v>
      </c>
      <c r="B34" s="9" t="s">
        <v>180</v>
      </c>
      <c r="C34" s="4" t="s">
        <v>62</v>
      </c>
      <c r="D34" s="6">
        <v>658.4</v>
      </c>
      <c r="E34" s="8"/>
      <c r="F34" s="8">
        <f t="shared" si="1"/>
        <v>0</v>
      </c>
    </row>
    <row r="35" spans="1:6" ht="38.25" x14ac:dyDescent="0.2">
      <c r="A35" s="3">
        <v>8</v>
      </c>
      <c r="B35" s="7" t="s">
        <v>47</v>
      </c>
      <c r="C35" s="4" t="s">
        <v>62</v>
      </c>
      <c r="D35" s="6">
        <f>(37+2*13)*0.4</f>
        <v>25.200000000000003</v>
      </c>
      <c r="E35" s="8"/>
      <c r="F35" s="8">
        <f t="shared" si="1"/>
        <v>0</v>
      </c>
    </row>
    <row r="36" spans="1:6" ht="25.5" x14ac:dyDescent="0.2">
      <c r="A36" s="3">
        <v>9</v>
      </c>
      <c r="B36" s="7" t="s">
        <v>20</v>
      </c>
      <c r="C36" s="4" t="s">
        <v>62</v>
      </c>
      <c r="D36" s="6">
        <v>9.0500000000000007</v>
      </c>
      <c r="E36" s="8"/>
      <c r="F36" s="8">
        <f t="shared" si="1"/>
        <v>0</v>
      </c>
    </row>
    <row r="37" spans="1:6" ht="25.5" x14ac:dyDescent="0.2">
      <c r="A37" s="3">
        <v>10</v>
      </c>
      <c r="B37" s="9" t="s">
        <v>119</v>
      </c>
      <c r="C37" s="4" t="s">
        <v>72</v>
      </c>
      <c r="D37" s="6">
        <v>220</v>
      </c>
      <c r="E37" s="8"/>
      <c r="F37" s="8">
        <f t="shared" si="1"/>
        <v>0</v>
      </c>
    </row>
    <row r="38" spans="1:6" ht="25.5" x14ac:dyDescent="0.2">
      <c r="A38" s="3">
        <v>11</v>
      </c>
      <c r="B38" s="7" t="s">
        <v>68</v>
      </c>
      <c r="C38" s="3" t="s">
        <v>59</v>
      </c>
      <c r="D38" s="13">
        <v>4</v>
      </c>
      <c r="E38" s="8"/>
      <c r="F38" s="8">
        <f t="shared" si="1"/>
        <v>0</v>
      </c>
    </row>
    <row r="39" spans="1:6" ht="25.5" x14ac:dyDescent="0.2">
      <c r="A39" s="3">
        <v>12</v>
      </c>
      <c r="B39" s="7" t="s">
        <v>69</v>
      </c>
      <c r="C39" s="4" t="s">
        <v>2</v>
      </c>
      <c r="D39" s="6">
        <v>48</v>
      </c>
      <c r="E39" s="8"/>
      <c r="F39" s="8">
        <f t="shared" si="1"/>
        <v>0</v>
      </c>
    </row>
    <row r="40" spans="1:6" ht="25.5" x14ac:dyDescent="0.2">
      <c r="A40" s="3">
        <v>13</v>
      </c>
      <c r="B40" s="7" t="s">
        <v>70</v>
      </c>
      <c r="C40" s="3" t="s">
        <v>59</v>
      </c>
      <c r="D40" s="13">
        <v>4</v>
      </c>
      <c r="E40" s="8"/>
      <c r="F40" s="8">
        <f t="shared" si="1"/>
        <v>0</v>
      </c>
    </row>
    <row r="41" spans="1:6" ht="25.5" x14ac:dyDescent="0.2">
      <c r="A41" s="3">
        <v>14</v>
      </c>
      <c r="B41" s="9" t="s">
        <v>75</v>
      </c>
      <c r="C41" s="4" t="s">
        <v>74</v>
      </c>
      <c r="D41" s="13">
        <v>4</v>
      </c>
      <c r="E41" s="8"/>
      <c r="F41" s="8">
        <f t="shared" si="1"/>
        <v>0</v>
      </c>
    </row>
    <row r="42" spans="1:6" ht="25.5" x14ac:dyDescent="0.2">
      <c r="A42" s="3">
        <v>15</v>
      </c>
      <c r="B42" s="9" t="s">
        <v>76</v>
      </c>
      <c r="C42" s="4" t="s">
        <v>59</v>
      </c>
      <c r="D42" s="13">
        <v>1</v>
      </c>
      <c r="E42" s="15"/>
      <c r="F42" s="8">
        <f t="shared" si="1"/>
        <v>0</v>
      </c>
    </row>
    <row r="43" spans="1:6" ht="13.5" x14ac:dyDescent="0.2">
      <c r="A43" s="3">
        <v>16</v>
      </c>
      <c r="B43" s="9" t="s">
        <v>64</v>
      </c>
      <c r="C43" s="4" t="s">
        <v>113</v>
      </c>
      <c r="D43" s="6">
        <v>13.9</v>
      </c>
      <c r="E43" s="8"/>
      <c r="F43" s="8">
        <f t="shared" si="1"/>
        <v>0</v>
      </c>
    </row>
    <row r="44" spans="1:6" x14ac:dyDescent="0.2">
      <c r="A44" s="39"/>
      <c r="B44" s="40"/>
      <c r="C44" s="51"/>
      <c r="D44" s="41"/>
      <c r="E44" s="31" t="s">
        <v>120</v>
      </c>
      <c r="F44" s="31">
        <f>SUM(F28:F43)</f>
        <v>0</v>
      </c>
    </row>
    <row r="45" spans="1:6" x14ac:dyDescent="0.2">
      <c r="A45" s="39"/>
      <c r="B45" s="40"/>
      <c r="C45" s="51"/>
      <c r="D45" s="59"/>
      <c r="E45" s="33" t="s">
        <v>123</v>
      </c>
      <c r="F45" s="32">
        <f>0.1*F44</f>
        <v>0</v>
      </c>
    </row>
    <row r="46" spans="1:6" x14ac:dyDescent="0.2">
      <c r="A46" s="39"/>
      <c r="B46" s="40"/>
      <c r="C46" s="51"/>
      <c r="D46" s="41"/>
      <c r="E46" s="29" t="s">
        <v>164</v>
      </c>
      <c r="F46" s="31">
        <f>SUM(F44:F45)</f>
        <v>0</v>
      </c>
    </row>
    <row r="47" spans="1:6" x14ac:dyDescent="0.2">
      <c r="A47" s="39"/>
      <c r="B47" s="40"/>
      <c r="C47" s="51"/>
      <c r="D47" s="41"/>
      <c r="E47" s="33" t="s">
        <v>121</v>
      </c>
      <c r="F47" s="32">
        <f>0.2*F46</f>
        <v>0</v>
      </c>
    </row>
    <row r="48" spans="1:6" x14ac:dyDescent="0.2">
      <c r="A48" s="39"/>
      <c r="B48" s="40"/>
      <c r="C48" s="51"/>
      <c r="D48" s="58"/>
      <c r="E48" s="29" t="s">
        <v>122</v>
      </c>
      <c r="F48" s="31">
        <f>SUM(F46:F47)</f>
        <v>0</v>
      </c>
    </row>
    <row r="49" spans="1:9" ht="14.25" customHeight="1" x14ac:dyDescent="0.2">
      <c r="A49" s="84" t="s">
        <v>165</v>
      </c>
      <c r="B49" s="84"/>
      <c r="C49" s="84"/>
      <c r="D49" s="84"/>
      <c r="E49" s="69"/>
      <c r="F49" s="12">
        <f>SUM(F50:F62)</f>
        <v>0</v>
      </c>
    </row>
    <row r="50" spans="1:9" x14ac:dyDescent="0.2">
      <c r="A50" s="3">
        <v>1</v>
      </c>
      <c r="B50" s="7" t="s">
        <v>26</v>
      </c>
      <c r="C50" s="4" t="s">
        <v>62</v>
      </c>
      <c r="D50" s="6">
        <v>43.2</v>
      </c>
      <c r="E50" s="8"/>
      <c r="F50" s="8">
        <f t="shared" ref="F50:F62" si="2">ROUND(D50*E50,2)</f>
        <v>0</v>
      </c>
    </row>
    <row r="51" spans="1:9" ht="13.5" x14ac:dyDescent="0.2">
      <c r="A51" s="3">
        <v>2</v>
      </c>
      <c r="B51" s="9" t="s">
        <v>5</v>
      </c>
      <c r="C51" s="4" t="s">
        <v>113</v>
      </c>
      <c r="D51" s="6">
        <v>77.219999999999985</v>
      </c>
      <c r="E51" s="8"/>
      <c r="F51" s="8">
        <f t="shared" si="2"/>
        <v>0</v>
      </c>
    </row>
    <row r="52" spans="1:9" ht="25.5" x14ac:dyDescent="0.2">
      <c r="A52" s="3">
        <v>3</v>
      </c>
      <c r="B52" s="9" t="s">
        <v>174</v>
      </c>
      <c r="C52" s="4" t="s">
        <v>62</v>
      </c>
      <c r="D52" s="6">
        <v>77.219999999999985</v>
      </c>
      <c r="E52" s="8"/>
      <c r="F52" s="8">
        <f t="shared" si="2"/>
        <v>0</v>
      </c>
      <c r="I52" s="28"/>
    </row>
    <row r="53" spans="1:9" ht="25.5" x14ac:dyDescent="0.2">
      <c r="A53" s="3">
        <v>4</v>
      </c>
      <c r="B53" s="7" t="s">
        <v>19</v>
      </c>
      <c r="C53" s="4" t="s">
        <v>62</v>
      </c>
      <c r="D53" s="6">
        <v>77.219999999999985</v>
      </c>
      <c r="E53" s="8"/>
      <c r="F53" s="8">
        <f t="shared" si="2"/>
        <v>0</v>
      </c>
    </row>
    <row r="54" spans="1:9" ht="25.5" x14ac:dyDescent="0.2">
      <c r="A54" s="3">
        <v>5</v>
      </c>
      <c r="B54" s="9" t="s">
        <v>180</v>
      </c>
      <c r="C54" s="4" t="s">
        <v>62</v>
      </c>
      <c r="D54" s="6">
        <v>77.219999999999985</v>
      </c>
      <c r="E54" s="8"/>
      <c r="F54" s="8">
        <f t="shared" si="2"/>
        <v>0</v>
      </c>
    </row>
    <row r="55" spans="1:9" ht="25.5" x14ac:dyDescent="0.2">
      <c r="A55" s="3">
        <v>6</v>
      </c>
      <c r="B55" s="9" t="s">
        <v>124</v>
      </c>
      <c r="C55" s="4" t="s">
        <v>62</v>
      </c>
      <c r="D55" s="6">
        <v>14.67</v>
      </c>
      <c r="E55" s="8"/>
      <c r="F55" s="8">
        <f t="shared" si="2"/>
        <v>0</v>
      </c>
    </row>
    <row r="56" spans="1:9" ht="25.5" x14ac:dyDescent="0.2">
      <c r="A56" s="3">
        <v>7</v>
      </c>
      <c r="B56" s="7" t="s">
        <v>23</v>
      </c>
      <c r="C56" s="4" t="s">
        <v>62</v>
      </c>
      <c r="D56" s="6">
        <f>D50</f>
        <v>43.2</v>
      </c>
      <c r="E56" s="8"/>
      <c r="F56" s="8">
        <f t="shared" si="2"/>
        <v>0</v>
      </c>
    </row>
    <row r="57" spans="1:9" ht="25.5" x14ac:dyDescent="0.2">
      <c r="A57" s="3">
        <v>8</v>
      </c>
      <c r="B57" s="7" t="s">
        <v>68</v>
      </c>
      <c r="C57" s="3" t="s">
        <v>59</v>
      </c>
      <c r="D57" s="13">
        <v>2</v>
      </c>
      <c r="E57" s="8"/>
      <c r="F57" s="8">
        <f t="shared" si="2"/>
        <v>0</v>
      </c>
    </row>
    <row r="58" spans="1:9" ht="25.5" x14ac:dyDescent="0.2">
      <c r="A58" s="3">
        <v>9</v>
      </c>
      <c r="B58" s="7" t="s">
        <v>69</v>
      </c>
      <c r="C58" s="4" t="s">
        <v>2</v>
      </c>
      <c r="D58" s="6">
        <v>24</v>
      </c>
      <c r="E58" s="8"/>
      <c r="F58" s="8">
        <f t="shared" si="2"/>
        <v>0</v>
      </c>
    </row>
    <row r="59" spans="1:9" ht="25.5" x14ac:dyDescent="0.2">
      <c r="A59" s="3">
        <v>10</v>
      </c>
      <c r="B59" s="7" t="s">
        <v>70</v>
      </c>
      <c r="C59" s="3" t="s">
        <v>59</v>
      </c>
      <c r="D59" s="13">
        <v>2</v>
      </c>
      <c r="E59" s="8"/>
      <c r="F59" s="8">
        <f t="shared" si="2"/>
        <v>0</v>
      </c>
    </row>
    <row r="60" spans="1:9" ht="25.5" x14ac:dyDescent="0.2">
      <c r="A60" s="3">
        <v>11</v>
      </c>
      <c r="B60" s="9" t="s">
        <v>75</v>
      </c>
      <c r="C60" s="4" t="s">
        <v>74</v>
      </c>
      <c r="D60" s="13">
        <v>2</v>
      </c>
      <c r="E60" s="8"/>
      <c r="F60" s="8">
        <f t="shared" si="2"/>
        <v>0</v>
      </c>
    </row>
    <row r="61" spans="1:9" ht="25.5" x14ac:dyDescent="0.2">
      <c r="A61" s="3">
        <v>12</v>
      </c>
      <c r="B61" s="9" t="s">
        <v>76</v>
      </c>
      <c r="C61" s="4" t="s">
        <v>59</v>
      </c>
      <c r="D61" s="13">
        <v>1</v>
      </c>
      <c r="E61" s="8"/>
      <c r="F61" s="8">
        <f t="shared" si="2"/>
        <v>0</v>
      </c>
    </row>
    <row r="62" spans="1:9" ht="13.5" x14ac:dyDescent="0.2">
      <c r="A62" s="3">
        <v>13</v>
      </c>
      <c r="B62" s="9" t="s">
        <v>64</v>
      </c>
      <c r="C62" s="4" t="s">
        <v>113</v>
      </c>
      <c r="D62" s="6">
        <v>2.3199999999999998</v>
      </c>
      <c r="E62" s="8"/>
      <c r="F62" s="8">
        <f t="shared" si="2"/>
        <v>0</v>
      </c>
    </row>
    <row r="63" spans="1:9" x14ac:dyDescent="0.2">
      <c r="E63" s="31" t="s">
        <v>120</v>
      </c>
      <c r="F63" s="31">
        <f>SUM(F50:F62)</f>
        <v>0</v>
      </c>
    </row>
    <row r="64" spans="1:9" x14ac:dyDescent="0.2">
      <c r="E64" s="29" t="s">
        <v>123</v>
      </c>
      <c r="F64" s="32">
        <f>0.1*F63</f>
        <v>0</v>
      </c>
    </row>
    <row r="65" spans="3:6" x14ac:dyDescent="0.2">
      <c r="E65" s="29" t="s">
        <v>164</v>
      </c>
      <c r="F65" s="31">
        <f>SUM(F63:F64)</f>
        <v>0</v>
      </c>
    </row>
    <row r="66" spans="3:6" x14ac:dyDescent="0.2">
      <c r="E66" s="29" t="s">
        <v>121</v>
      </c>
      <c r="F66" s="32">
        <f>0.2*F65</f>
        <v>0</v>
      </c>
    </row>
    <row r="67" spans="3:6" x14ac:dyDescent="0.2">
      <c r="E67" s="29" t="s">
        <v>122</v>
      </c>
      <c r="F67" s="31">
        <f>SUM(F65:F66)</f>
        <v>0</v>
      </c>
    </row>
    <row r="69" spans="3:6" ht="15" x14ac:dyDescent="0.2">
      <c r="C69" s="81" t="s">
        <v>166</v>
      </c>
      <c r="D69" s="82"/>
      <c r="E69" s="82"/>
      <c r="F69" s="82"/>
    </row>
    <row r="70" spans="3:6" x14ac:dyDescent="0.2">
      <c r="E70" s="35" t="s">
        <v>145</v>
      </c>
      <c r="F70" s="31">
        <f>F22+F44+F63</f>
        <v>0</v>
      </c>
    </row>
    <row r="71" spans="3:6" x14ac:dyDescent="0.2">
      <c r="D71" s="30"/>
      <c r="E71" s="33" t="s">
        <v>142</v>
      </c>
      <c r="F71" s="36">
        <f>F23+F45+F64</f>
        <v>0</v>
      </c>
    </row>
    <row r="72" spans="3:6" x14ac:dyDescent="0.2">
      <c r="E72" s="35" t="s">
        <v>146</v>
      </c>
      <c r="F72" s="31">
        <f>F24+F46+F65</f>
        <v>0</v>
      </c>
    </row>
    <row r="73" spans="3:6" x14ac:dyDescent="0.2">
      <c r="E73" s="29" t="s">
        <v>121</v>
      </c>
      <c r="F73" s="32">
        <f>0.2*F72</f>
        <v>0</v>
      </c>
    </row>
    <row r="74" spans="3:6" x14ac:dyDescent="0.2">
      <c r="E74" s="29" t="s">
        <v>122</v>
      </c>
      <c r="F74" s="31">
        <f>SUM(F72:F73)</f>
        <v>0</v>
      </c>
    </row>
  </sheetData>
  <autoFilter ref="A4:F26"/>
  <mergeCells count="5">
    <mergeCell ref="A2:F2"/>
    <mergeCell ref="C69:F69"/>
    <mergeCell ref="A5:D5"/>
    <mergeCell ref="A27:D27"/>
    <mergeCell ref="A49:D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7"/>
  <sheetViews>
    <sheetView workbookViewId="0">
      <pane ySplit="4" topLeftCell="A7" activePane="bottomLeft" state="frozen"/>
      <selection pane="bottomLeft" activeCell="B18" sqref="B18"/>
    </sheetView>
  </sheetViews>
  <sheetFormatPr defaultRowHeight="12.75" x14ac:dyDescent="0.2"/>
  <cols>
    <col min="1" max="1" width="5.7109375" style="16" customWidth="1"/>
    <col min="2" max="2" width="42.140625" style="17" customWidth="1"/>
    <col min="3" max="3" width="5.7109375" style="18" customWidth="1"/>
    <col min="4" max="4" width="10.5703125" style="19" customWidth="1"/>
    <col min="5" max="5" width="10.7109375" style="19" customWidth="1"/>
    <col min="6" max="6" width="14.42578125" style="19" customWidth="1"/>
    <col min="7" max="16384" width="9.140625" style="5"/>
  </cols>
  <sheetData>
    <row r="2" spans="1:6" ht="15" customHeight="1" x14ac:dyDescent="0.2">
      <c r="A2" s="80" t="s">
        <v>56</v>
      </c>
      <c r="B2" s="80"/>
      <c r="C2" s="80"/>
      <c r="D2" s="80"/>
      <c r="E2" s="80"/>
      <c r="F2" s="80"/>
    </row>
    <row r="4" spans="1:6" s="26" customFormat="1" ht="26.25" customHeight="1" x14ac:dyDescent="0.2">
      <c r="A4" s="2" t="s">
        <v>0</v>
      </c>
      <c r="B4" s="10" t="s">
        <v>3</v>
      </c>
      <c r="C4" s="34" t="s">
        <v>139</v>
      </c>
      <c r="D4" s="10" t="s">
        <v>140</v>
      </c>
      <c r="E4" s="71" t="s">
        <v>55</v>
      </c>
      <c r="F4" s="11" t="s">
        <v>57</v>
      </c>
    </row>
    <row r="5" spans="1:6" s="27" customFormat="1" ht="28.5" customHeight="1" x14ac:dyDescent="0.2">
      <c r="A5" s="84" t="s">
        <v>167</v>
      </c>
      <c r="B5" s="84"/>
      <c r="C5" s="84"/>
      <c r="D5" s="84"/>
      <c r="E5" s="69"/>
      <c r="F5" s="12">
        <f>F6+F78+F98+F118+F127</f>
        <v>0</v>
      </c>
    </row>
    <row r="6" spans="1:6" s="27" customFormat="1" ht="14.25" customHeight="1" x14ac:dyDescent="0.2">
      <c r="A6" s="84" t="s">
        <v>24</v>
      </c>
      <c r="B6" s="84"/>
      <c r="C6" s="84"/>
      <c r="D6" s="84"/>
      <c r="E6" s="69"/>
      <c r="F6" s="12">
        <f>F7+F27+F54</f>
        <v>0</v>
      </c>
    </row>
    <row r="7" spans="1:6" s="27" customFormat="1" ht="14.25" x14ac:dyDescent="0.2">
      <c r="A7" s="60" t="s">
        <v>25</v>
      </c>
      <c r="B7" s="72" t="s">
        <v>29</v>
      </c>
      <c r="C7" s="72"/>
      <c r="D7" s="72"/>
      <c r="E7" s="69"/>
      <c r="F7" s="12">
        <f>SUM(F8:F26)</f>
        <v>0</v>
      </c>
    </row>
    <row r="8" spans="1:6" x14ac:dyDescent="0.2">
      <c r="A8" s="3">
        <v>1</v>
      </c>
      <c r="B8" s="7" t="s">
        <v>26</v>
      </c>
      <c r="C8" s="4" t="s">
        <v>97</v>
      </c>
      <c r="D8" s="6">
        <v>235</v>
      </c>
      <c r="E8" s="8"/>
      <c r="F8" s="8">
        <f t="shared" ref="F8:F25" si="0">ROUND(D8*E8,2)</f>
        <v>0</v>
      </c>
    </row>
    <row r="9" spans="1:6" x14ac:dyDescent="0.2">
      <c r="A9" s="3">
        <v>2</v>
      </c>
      <c r="B9" s="7" t="s">
        <v>9</v>
      </c>
      <c r="C9" s="4" t="s">
        <v>62</v>
      </c>
      <c r="D9" s="6">
        <v>490</v>
      </c>
      <c r="E9" s="8"/>
      <c r="F9" s="8">
        <f t="shared" si="0"/>
        <v>0</v>
      </c>
    </row>
    <row r="10" spans="1:6" ht="25.5" x14ac:dyDescent="0.2">
      <c r="A10" s="3">
        <v>3</v>
      </c>
      <c r="B10" s="9" t="s">
        <v>61</v>
      </c>
      <c r="C10" s="4" t="s">
        <v>58</v>
      </c>
      <c r="D10" s="6">
        <v>18</v>
      </c>
      <c r="E10" s="8"/>
      <c r="F10" s="8">
        <f t="shared" si="0"/>
        <v>0</v>
      </c>
    </row>
    <row r="11" spans="1:6" ht="25.5" x14ac:dyDescent="0.2">
      <c r="A11" s="3">
        <v>4</v>
      </c>
      <c r="B11" s="7" t="s">
        <v>8</v>
      </c>
      <c r="C11" s="3" t="s">
        <v>2</v>
      </c>
      <c r="D11" s="6">
        <v>66.45</v>
      </c>
      <c r="E11" s="8"/>
      <c r="F11" s="8">
        <f t="shared" si="0"/>
        <v>0</v>
      </c>
    </row>
    <row r="12" spans="1:6" ht="13.5" customHeight="1" x14ac:dyDescent="0.2">
      <c r="A12" s="3">
        <v>5</v>
      </c>
      <c r="B12" s="9" t="s">
        <v>141</v>
      </c>
      <c r="C12" s="3" t="s">
        <v>2</v>
      </c>
      <c r="D12" s="6">
        <f>66.45*0.25*0.25</f>
        <v>4.1531250000000002</v>
      </c>
      <c r="E12" s="8"/>
      <c r="F12" s="8">
        <f t="shared" si="0"/>
        <v>0</v>
      </c>
    </row>
    <row r="13" spans="1:6" ht="13.5" customHeight="1" x14ac:dyDescent="0.2">
      <c r="A13" s="3">
        <v>6</v>
      </c>
      <c r="B13" s="9" t="s">
        <v>102</v>
      </c>
      <c r="C13" s="4" t="s">
        <v>62</v>
      </c>
      <c r="D13" s="6">
        <f>65*0.75</f>
        <v>48.75</v>
      </c>
      <c r="E13" s="8"/>
      <c r="F13" s="8">
        <f t="shared" si="0"/>
        <v>0</v>
      </c>
    </row>
    <row r="14" spans="1:6" ht="13.5" customHeight="1" x14ac:dyDescent="0.2">
      <c r="A14" s="3">
        <v>7</v>
      </c>
      <c r="B14" s="9" t="s">
        <v>103</v>
      </c>
      <c r="C14" s="4" t="s">
        <v>62</v>
      </c>
      <c r="D14" s="6">
        <f>65*0.5</f>
        <v>32.5</v>
      </c>
      <c r="E14" s="8"/>
      <c r="F14" s="8">
        <f t="shared" si="0"/>
        <v>0</v>
      </c>
    </row>
    <row r="15" spans="1:6" ht="13.5" customHeight="1" x14ac:dyDescent="0.2">
      <c r="A15" s="3">
        <v>8</v>
      </c>
      <c r="B15" s="9" t="s">
        <v>101</v>
      </c>
      <c r="C15" s="4" t="s">
        <v>62</v>
      </c>
      <c r="D15" s="6">
        <f>65*0.5</f>
        <v>32.5</v>
      </c>
      <c r="E15" s="8"/>
      <c r="F15" s="8">
        <f t="shared" si="0"/>
        <v>0</v>
      </c>
    </row>
    <row r="16" spans="1:6" ht="25.5" x14ac:dyDescent="0.2">
      <c r="A16" s="3">
        <v>9</v>
      </c>
      <c r="B16" s="9" t="s">
        <v>174</v>
      </c>
      <c r="C16" s="4" t="s">
        <v>62</v>
      </c>
      <c r="D16" s="6">
        <v>490</v>
      </c>
      <c r="E16" s="8"/>
      <c r="F16" s="8">
        <f t="shared" si="0"/>
        <v>0</v>
      </c>
    </row>
    <row r="17" spans="1:6" ht="25.5" x14ac:dyDescent="0.2">
      <c r="A17" s="3">
        <v>10</v>
      </c>
      <c r="B17" s="7" t="s">
        <v>19</v>
      </c>
      <c r="C17" s="4" t="s">
        <v>62</v>
      </c>
      <c r="D17" s="6">
        <v>490</v>
      </c>
      <c r="E17" s="8"/>
      <c r="F17" s="8">
        <f t="shared" si="0"/>
        <v>0</v>
      </c>
    </row>
    <row r="18" spans="1:6" ht="25.5" x14ac:dyDescent="0.2">
      <c r="A18" s="3">
        <v>11</v>
      </c>
      <c r="B18" s="9" t="s">
        <v>180</v>
      </c>
      <c r="C18" s="4" t="s">
        <v>62</v>
      </c>
      <c r="D18" s="6">
        <v>558.61</v>
      </c>
      <c r="E18" s="8"/>
      <c r="F18" s="8">
        <f t="shared" si="0"/>
        <v>0</v>
      </c>
    </row>
    <row r="19" spans="1:6" ht="38.25" x14ac:dyDescent="0.2">
      <c r="A19" s="3">
        <v>12</v>
      </c>
      <c r="B19" s="9" t="s">
        <v>47</v>
      </c>
      <c r="C19" s="4" t="s">
        <v>62</v>
      </c>
      <c r="D19" s="23">
        <f>66.45*0.4</f>
        <v>26.580000000000002</v>
      </c>
      <c r="E19" s="24"/>
      <c r="F19" s="24">
        <f t="shared" si="0"/>
        <v>0</v>
      </c>
    </row>
    <row r="20" spans="1:6" x14ac:dyDescent="0.2">
      <c r="A20" s="3">
        <v>13</v>
      </c>
      <c r="B20" s="9" t="s">
        <v>91</v>
      </c>
      <c r="C20" s="3" t="s">
        <v>1</v>
      </c>
      <c r="D20" s="13">
        <v>4</v>
      </c>
      <c r="E20" s="8"/>
      <c r="F20" s="8">
        <f t="shared" si="0"/>
        <v>0</v>
      </c>
    </row>
    <row r="21" spans="1:6" ht="38.25" x14ac:dyDescent="0.2">
      <c r="A21" s="3">
        <v>14</v>
      </c>
      <c r="B21" s="9" t="s">
        <v>126</v>
      </c>
      <c r="C21" s="4" t="s">
        <v>72</v>
      </c>
      <c r="D21" s="21">
        <v>18</v>
      </c>
      <c r="E21" s="8"/>
      <c r="F21" s="8">
        <f t="shared" si="0"/>
        <v>0</v>
      </c>
    </row>
    <row r="22" spans="1:6" ht="38.25" x14ac:dyDescent="0.2">
      <c r="A22" s="3">
        <v>15</v>
      </c>
      <c r="B22" s="9" t="s">
        <v>157</v>
      </c>
      <c r="C22" s="3" t="s">
        <v>1</v>
      </c>
      <c r="D22" s="25">
        <v>4</v>
      </c>
      <c r="E22" s="24"/>
      <c r="F22" s="8">
        <f t="shared" si="0"/>
        <v>0</v>
      </c>
    </row>
    <row r="23" spans="1:6" ht="25.5" x14ac:dyDescent="0.2">
      <c r="A23" s="3">
        <v>16</v>
      </c>
      <c r="B23" s="9" t="s">
        <v>128</v>
      </c>
      <c r="C23" s="4" t="s">
        <v>72</v>
      </c>
      <c r="D23" s="25">
        <f>4*5.5</f>
        <v>22</v>
      </c>
      <c r="E23" s="24"/>
      <c r="F23" s="8">
        <f t="shared" si="0"/>
        <v>0</v>
      </c>
    </row>
    <row r="24" spans="1:6" ht="39" customHeight="1" x14ac:dyDescent="0.2">
      <c r="A24" s="3">
        <v>17</v>
      </c>
      <c r="B24" s="9" t="s">
        <v>130</v>
      </c>
      <c r="C24" s="3" t="s">
        <v>1</v>
      </c>
      <c r="D24" s="25">
        <v>4</v>
      </c>
      <c r="E24" s="24"/>
      <c r="F24" s="8">
        <f t="shared" si="0"/>
        <v>0</v>
      </c>
    </row>
    <row r="25" spans="1:6" ht="37.5" customHeight="1" x14ac:dyDescent="0.2">
      <c r="A25" s="3">
        <v>18</v>
      </c>
      <c r="B25" s="9" t="s">
        <v>129</v>
      </c>
      <c r="C25" s="3" t="s">
        <v>1</v>
      </c>
      <c r="D25" s="13">
        <v>4</v>
      </c>
      <c r="E25" s="8"/>
      <c r="F25" s="8">
        <f t="shared" si="0"/>
        <v>0</v>
      </c>
    </row>
    <row r="26" spans="1:6" ht="13.5" x14ac:dyDescent="0.2">
      <c r="A26" s="3">
        <v>19</v>
      </c>
      <c r="B26" s="9" t="s">
        <v>64</v>
      </c>
      <c r="C26" s="4" t="s">
        <v>113</v>
      </c>
      <c r="D26" s="6">
        <f>2.32+3+3+5</f>
        <v>13.32</v>
      </c>
      <c r="E26" s="24"/>
      <c r="F26" s="8">
        <f>ROUND(D26*E26,2)</f>
        <v>0</v>
      </c>
    </row>
    <row r="27" spans="1:6" s="27" customFormat="1" ht="15" x14ac:dyDescent="0.2">
      <c r="A27" s="2" t="s">
        <v>32</v>
      </c>
      <c r="B27" s="83" t="s">
        <v>27</v>
      </c>
      <c r="C27" s="83"/>
      <c r="D27" s="83"/>
      <c r="E27" s="68"/>
      <c r="F27" s="12">
        <f>SUM(F28:F53)</f>
        <v>0</v>
      </c>
    </row>
    <row r="28" spans="1:6" x14ac:dyDescent="0.2">
      <c r="A28" s="3">
        <v>1</v>
      </c>
      <c r="B28" s="7" t="s">
        <v>26</v>
      </c>
      <c r="C28" s="4" t="s">
        <v>72</v>
      </c>
      <c r="D28" s="6">
        <v>350</v>
      </c>
      <c r="E28" s="8"/>
      <c r="F28" s="8">
        <f t="shared" ref="F28:F53" si="1">ROUND(D28*E28,2)</f>
        <v>0</v>
      </c>
    </row>
    <row r="29" spans="1:6" x14ac:dyDescent="0.2">
      <c r="A29" s="3">
        <v>2</v>
      </c>
      <c r="B29" s="7" t="s">
        <v>9</v>
      </c>
      <c r="C29" s="4" t="s">
        <v>62</v>
      </c>
      <c r="D29" s="6">
        <v>844.80000000000007</v>
      </c>
      <c r="E29" s="8"/>
      <c r="F29" s="8">
        <f t="shared" si="1"/>
        <v>0</v>
      </c>
    </row>
    <row r="30" spans="1:6" x14ac:dyDescent="0.2">
      <c r="A30" s="3">
        <v>3</v>
      </c>
      <c r="B30" s="9" t="s">
        <v>106</v>
      </c>
      <c r="C30" s="22" t="s">
        <v>58</v>
      </c>
      <c r="D30" s="6">
        <v>40</v>
      </c>
      <c r="E30" s="8"/>
      <c r="F30" s="8">
        <f t="shared" si="1"/>
        <v>0</v>
      </c>
    </row>
    <row r="31" spans="1:6" ht="25.5" x14ac:dyDescent="0.2">
      <c r="A31" s="3">
        <v>4</v>
      </c>
      <c r="B31" s="7" t="s">
        <v>8</v>
      </c>
      <c r="C31" s="3" t="s">
        <v>2</v>
      </c>
      <c r="D31" s="6">
        <v>131.19999999999999</v>
      </c>
      <c r="E31" s="8"/>
      <c r="F31" s="8">
        <f t="shared" si="1"/>
        <v>0</v>
      </c>
    </row>
    <row r="32" spans="1:6" ht="25.5" x14ac:dyDescent="0.2">
      <c r="A32" s="3">
        <v>5</v>
      </c>
      <c r="B32" s="7" t="s">
        <v>34</v>
      </c>
      <c r="C32" s="3" t="s">
        <v>1</v>
      </c>
      <c r="D32" s="6">
        <v>18</v>
      </c>
      <c r="E32" s="8"/>
      <c r="F32" s="8">
        <f t="shared" si="1"/>
        <v>0</v>
      </c>
    </row>
    <row r="33" spans="1:6" x14ac:dyDescent="0.2">
      <c r="A33" s="3">
        <v>6</v>
      </c>
      <c r="B33" s="9" t="s">
        <v>91</v>
      </c>
      <c r="C33" s="3" t="s">
        <v>1</v>
      </c>
      <c r="D33" s="13">
        <v>4</v>
      </c>
      <c r="E33" s="8"/>
      <c r="F33" s="8">
        <f t="shared" si="1"/>
        <v>0</v>
      </c>
    </row>
    <row r="34" spans="1:6" ht="25.5" x14ac:dyDescent="0.2">
      <c r="A34" s="3">
        <v>7</v>
      </c>
      <c r="B34" s="9" t="s">
        <v>174</v>
      </c>
      <c r="C34" s="4" t="s">
        <v>62</v>
      </c>
      <c r="D34" s="6">
        <v>844.80000000000007</v>
      </c>
      <c r="E34" s="8"/>
      <c r="F34" s="8">
        <f t="shared" si="1"/>
        <v>0</v>
      </c>
    </row>
    <row r="35" spans="1:6" ht="25.5" x14ac:dyDescent="0.2">
      <c r="A35" s="3">
        <v>8</v>
      </c>
      <c r="B35" s="7" t="s">
        <v>19</v>
      </c>
      <c r="C35" s="3" t="s">
        <v>4</v>
      </c>
      <c r="D35" s="6">
        <v>844.80000000000007</v>
      </c>
      <c r="E35" s="8"/>
      <c r="F35" s="8">
        <f t="shared" si="1"/>
        <v>0</v>
      </c>
    </row>
    <row r="36" spans="1:6" ht="25.5" x14ac:dyDescent="0.2">
      <c r="A36" s="3">
        <v>9</v>
      </c>
      <c r="B36" s="9" t="s">
        <v>180</v>
      </c>
      <c r="C36" s="3" t="s">
        <v>4</v>
      </c>
      <c r="D36" s="6">
        <v>930.08</v>
      </c>
      <c r="E36" s="8"/>
      <c r="F36" s="8">
        <f t="shared" si="1"/>
        <v>0</v>
      </c>
    </row>
    <row r="37" spans="1:6" ht="38.25" x14ac:dyDescent="0.2">
      <c r="A37" s="3">
        <v>10</v>
      </c>
      <c r="B37" s="7" t="s">
        <v>47</v>
      </c>
      <c r="C37" s="3" t="s">
        <v>4</v>
      </c>
      <c r="D37" s="6">
        <v>59.04</v>
      </c>
      <c r="E37" s="8"/>
      <c r="F37" s="8">
        <f t="shared" si="1"/>
        <v>0</v>
      </c>
    </row>
    <row r="38" spans="1:6" ht="38.25" x14ac:dyDescent="0.2">
      <c r="A38" s="3">
        <v>11</v>
      </c>
      <c r="B38" s="9" t="s">
        <v>131</v>
      </c>
      <c r="C38" s="3" t="s">
        <v>1</v>
      </c>
      <c r="D38" s="6">
        <v>18</v>
      </c>
      <c r="E38" s="8"/>
      <c r="F38" s="8">
        <f t="shared" si="1"/>
        <v>0</v>
      </c>
    </row>
    <row r="39" spans="1:6" ht="38.25" x14ac:dyDescent="0.2">
      <c r="A39" s="3">
        <v>12</v>
      </c>
      <c r="B39" s="9" t="s">
        <v>104</v>
      </c>
      <c r="C39" s="3" t="s">
        <v>59</v>
      </c>
      <c r="D39" s="6">
        <v>1</v>
      </c>
      <c r="E39" s="14"/>
      <c r="F39" s="8">
        <f t="shared" si="1"/>
        <v>0</v>
      </c>
    </row>
    <row r="40" spans="1:6" ht="25.5" x14ac:dyDescent="0.2">
      <c r="A40" s="3">
        <v>13</v>
      </c>
      <c r="B40" s="9" t="s">
        <v>107</v>
      </c>
      <c r="C40" s="4" t="s">
        <v>72</v>
      </c>
      <c r="D40" s="6">
        <v>30</v>
      </c>
      <c r="E40" s="8"/>
      <c r="F40" s="8">
        <f t="shared" si="1"/>
        <v>0</v>
      </c>
    </row>
    <row r="41" spans="1:6" ht="25.5" x14ac:dyDescent="0.2">
      <c r="A41" s="3">
        <v>14</v>
      </c>
      <c r="B41" s="9" t="s">
        <v>73</v>
      </c>
      <c r="C41" s="4" t="s">
        <v>72</v>
      </c>
      <c r="D41" s="6">
        <v>15</v>
      </c>
      <c r="E41" s="8"/>
      <c r="F41" s="8">
        <f t="shared" si="1"/>
        <v>0</v>
      </c>
    </row>
    <row r="42" spans="1:6" ht="25.5" x14ac:dyDescent="0.2">
      <c r="A42" s="3">
        <v>15</v>
      </c>
      <c r="B42" s="7" t="s">
        <v>68</v>
      </c>
      <c r="C42" s="3" t="s">
        <v>59</v>
      </c>
      <c r="D42" s="13">
        <v>2</v>
      </c>
      <c r="E42" s="8"/>
      <c r="F42" s="8">
        <f t="shared" si="1"/>
        <v>0</v>
      </c>
    </row>
    <row r="43" spans="1:6" ht="25.5" x14ac:dyDescent="0.2">
      <c r="A43" s="3">
        <v>16</v>
      </c>
      <c r="B43" s="7" t="s">
        <v>69</v>
      </c>
      <c r="C43" s="4" t="s">
        <v>2</v>
      </c>
      <c r="D43" s="6">
        <v>24</v>
      </c>
      <c r="E43" s="8"/>
      <c r="F43" s="8">
        <f t="shared" si="1"/>
        <v>0</v>
      </c>
    </row>
    <row r="44" spans="1:6" ht="25.5" x14ac:dyDescent="0.2">
      <c r="A44" s="3">
        <v>17</v>
      </c>
      <c r="B44" s="7" t="s">
        <v>70</v>
      </c>
      <c r="C44" s="3" t="s">
        <v>59</v>
      </c>
      <c r="D44" s="13">
        <v>2</v>
      </c>
      <c r="E44" s="8"/>
      <c r="F44" s="8">
        <f t="shared" si="1"/>
        <v>0</v>
      </c>
    </row>
    <row r="45" spans="1:6" ht="25.5" x14ac:dyDescent="0.2">
      <c r="A45" s="3">
        <v>18</v>
      </c>
      <c r="B45" s="9" t="s">
        <v>75</v>
      </c>
      <c r="C45" s="4" t="s">
        <v>74</v>
      </c>
      <c r="D45" s="13">
        <v>2</v>
      </c>
      <c r="E45" s="8"/>
      <c r="F45" s="8">
        <f t="shared" si="1"/>
        <v>0</v>
      </c>
    </row>
    <row r="46" spans="1:6" ht="25.5" x14ac:dyDescent="0.2">
      <c r="A46" s="3">
        <v>19</v>
      </c>
      <c r="B46" s="9" t="s">
        <v>76</v>
      </c>
      <c r="C46" s="4" t="s">
        <v>59</v>
      </c>
      <c r="D46" s="13">
        <v>1</v>
      </c>
      <c r="E46" s="15"/>
      <c r="F46" s="8">
        <f t="shared" si="1"/>
        <v>0</v>
      </c>
    </row>
    <row r="47" spans="1:6" ht="25.5" x14ac:dyDescent="0.2">
      <c r="A47" s="3">
        <v>20</v>
      </c>
      <c r="B47" s="9" t="s">
        <v>60</v>
      </c>
      <c r="C47" s="4" t="s">
        <v>105</v>
      </c>
      <c r="D47" s="6">
        <f>4*7*1.2</f>
        <v>33.6</v>
      </c>
      <c r="E47" s="8"/>
      <c r="F47" s="8">
        <f t="shared" si="1"/>
        <v>0</v>
      </c>
    </row>
    <row r="48" spans="1:6" ht="25.5" x14ac:dyDescent="0.2">
      <c r="A48" s="3">
        <v>21</v>
      </c>
      <c r="B48" s="9" t="s">
        <v>132</v>
      </c>
      <c r="C48" s="4" t="s">
        <v>58</v>
      </c>
      <c r="D48" s="6">
        <v>40</v>
      </c>
      <c r="E48" s="8"/>
      <c r="F48" s="8">
        <f t="shared" si="1"/>
        <v>0</v>
      </c>
    </row>
    <row r="49" spans="1:6" ht="25.5" x14ac:dyDescent="0.2">
      <c r="A49" s="3">
        <v>22</v>
      </c>
      <c r="B49" s="9" t="s">
        <v>108</v>
      </c>
      <c r="C49" s="4" t="s">
        <v>105</v>
      </c>
      <c r="D49" s="6">
        <f>D47</f>
        <v>33.6</v>
      </c>
      <c r="E49" s="8"/>
      <c r="F49" s="8">
        <f t="shared" si="1"/>
        <v>0</v>
      </c>
    </row>
    <row r="50" spans="1:6" ht="14.25" x14ac:dyDescent="0.2">
      <c r="A50" s="3">
        <v>23</v>
      </c>
      <c r="B50" s="9" t="s">
        <v>109</v>
      </c>
      <c r="C50" s="4" t="s">
        <v>105</v>
      </c>
      <c r="D50" s="6">
        <v>33.6</v>
      </c>
      <c r="E50" s="8"/>
      <c r="F50" s="8">
        <f t="shared" si="1"/>
        <v>0</v>
      </c>
    </row>
    <row r="51" spans="1:6" ht="25.5" x14ac:dyDescent="0.2">
      <c r="A51" s="3">
        <v>24</v>
      </c>
      <c r="B51" s="9" t="s">
        <v>156</v>
      </c>
      <c r="C51" s="4" t="s">
        <v>134</v>
      </c>
      <c r="D51" s="6">
        <f>D47</f>
        <v>33.6</v>
      </c>
      <c r="E51" s="8"/>
      <c r="F51" s="8">
        <f t="shared" si="1"/>
        <v>0</v>
      </c>
    </row>
    <row r="52" spans="1:6" ht="38.25" x14ac:dyDescent="0.2">
      <c r="A52" s="3">
        <v>25</v>
      </c>
      <c r="B52" s="9" t="s">
        <v>135</v>
      </c>
      <c r="C52" s="4" t="s">
        <v>59</v>
      </c>
      <c r="D52" s="25">
        <v>4</v>
      </c>
      <c r="E52" s="24"/>
      <c r="F52" s="8">
        <f t="shared" si="1"/>
        <v>0</v>
      </c>
    </row>
    <row r="53" spans="1:6" ht="15" x14ac:dyDescent="0.2">
      <c r="A53" s="3">
        <v>26</v>
      </c>
      <c r="B53" s="9" t="s">
        <v>64</v>
      </c>
      <c r="C53" s="4" t="s">
        <v>133</v>
      </c>
      <c r="D53" s="6">
        <v>15</v>
      </c>
      <c r="E53" s="8"/>
      <c r="F53" s="8">
        <f t="shared" si="1"/>
        <v>0</v>
      </c>
    </row>
    <row r="54" spans="1:6" ht="15" x14ac:dyDescent="0.2">
      <c r="A54" s="2" t="s">
        <v>31</v>
      </c>
      <c r="B54" s="83" t="s">
        <v>30</v>
      </c>
      <c r="C54" s="83"/>
      <c r="D54" s="83"/>
      <c r="E54" s="68"/>
      <c r="F54" s="12">
        <f>SUM(F55:F72)</f>
        <v>0</v>
      </c>
    </row>
    <row r="55" spans="1:6" x14ac:dyDescent="0.2">
      <c r="A55" s="3">
        <v>1</v>
      </c>
      <c r="B55" s="7" t="s">
        <v>26</v>
      </c>
      <c r="C55" s="4" t="s">
        <v>58</v>
      </c>
      <c r="D55" s="6">
        <v>267</v>
      </c>
      <c r="E55" s="8"/>
      <c r="F55" s="8">
        <f t="shared" ref="F55:F72" si="2">ROUND(D55*E55,2)</f>
        <v>0</v>
      </c>
    </row>
    <row r="56" spans="1:6" x14ac:dyDescent="0.2">
      <c r="A56" s="3">
        <v>2</v>
      </c>
      <c r="B56" s="7" t="s">
        <v>9</v>
      </c>
      <c r="C56" s="4" t="s">
        <v>58</v>
      </c>
      <c r="D56" s="6">
        <v>646</v>
      </c>
      <c r="E56" s="8"/>
      <c r="F56" s="8">
        <f t="shared" si="2"/>
        <v>0</v>
      </c>
    </row>
    <row r="57" spans="1:6" ht="25.5" x14ac:dyDescent="0.2">
      <c r="A57" s="3">
        <v>3</v>
      </c>
      <c r="B57" s="9" t="s">
        <v>61</v>
      </c>
      <c r="C57" s="3" t="s">
        <v>2</v>
      </c>
      <c r="D57" s="6">
        <f>8*4.5</f>
        <v>36</v>
      </c>
      <c r="E57" s="8"/>
      <c r="F57" s="8">
        <f t="shared" si="2"/>
        <v>0</v>
      </c>
    </row>
    <row r="58" spans="1:6" ht="25.5" x14ac:dyDescent="0.2">
      <c r="A58" s="3">
        <v>4</v>
      </c>
      <c r="B58" s="7" t="s">
        <v>8</v>
      </c>
      <c r="C58" s="3" t="s">
        <v>2</v>
      </c>
      <c r="D58" s="6">
        <v>107.8</v>
      </c>
      <c r="E58" s="8"/>
      <c r="F58" s="8">
        <f t="shared" si="2"/>
        <v>0</v>
      </c>
    </row>
    <row r="59" spans="1:6" ht="25.5" customHeight="1" x14ac:dyDescent="0.2">
      <c r="A59" s="3">
        <v>5</v>
      </c>
      <c r="B59" s="9" t="s">
        <v>141</v>
      </c>
      <c r="C59" s="4" t="s">
        <v>62</v>
      </c>
      <c r="D59" s="6">
        <f>125*0.25*0.25</f>
        <v>7.8125</v>
      </c>
      <c r="E59" s="8"/>
      <c r="F59" s="8">
        <f t="shared" si="2"/>
        <v>0</v>
      </c>
    </row>
    <row r="60" spans="1:6" ht="13.5" customHeight="1" x14ac:dyDescent="0.2">
      <c r="A60" s="3">
        <v>6</v>
      </c>
      <c r="B60" s="9" t="s">
        <v>102</v>
      </c>
      <c r="C60" s="4" t="s">
        <v>62</v>
      </c>
      <c r="D60" s="6">
        <f>125*0.75</f>
        <v>93.75</v>
      </c>
      <c r="E60" s="8"/>
      <c r="F60" s="8">
        <f t="shared" si="2"/>
        <v>0</v>
      </c>
    </row>
    <row r="61" spans="1:6" ht="13.5" customHeight="1" x14ac:dyDescent="0.2">
      <c r="A61" s="3">
        <v>7</v>
      </c>
      <c r="B61" s="9" t="s">
        <v>103</v>
      </c>
      <c r="C61" s="4" t="s">
        <v>62</v>
      </c>
      <c r="D61" s="6">
        <f>125*0.5</f>
        <v>62.5</v>
      </c>
      <c r="E61" s="8"/>
      <c r="F61" s="8">
        <f t="shared" si="2"/>
        <v>0</v>
      </c>
    </row>
    <row r="62" spans="1:6" ht="13.5" customHeight="1" x14ac:dyDescent="0.2">
      <c r="A62" s="3">
        <v>8</v>
      </c>
      <c r="B62" s="9" t="s">
        <v>101</v>
      </c>
      <c r="C62" s="3" t="s">
        <v>1</v>
      </c>
      <c r="D62" s="6">
        <f>125*0.5</f>
        <v>62.5</v>
      </c>
      <c r="E62" s="8"/>
      <c r="F62" s="8">
        <f t="shared" si="2"/>
        <v>0</v>
      </c>
    </row>
    <row r="63" spans="1:6" ht="13.5" customHeight="1" x14ac:dyDescent="0.2">
      <c r="A63" s="3">
        <v>9</v>
      </c>
      <c r="B63" s="9" t="s">
        <v>91</v>
      </c>
      <c r="C63" s="4" t="s">
        <v>62</v>
      </c>
      <c r="D63" s="6">
        <v>8</v>
      </c>
      <c r="E63" s="8"/>
      <c r="F63" s="8">
        <f t="shared" si="2"/>
        <v>0</v>
      </c>
    </row>
    <row r="64" spans="1:6" ht="25.5" x14ac:dyDescent="0.2">
      <c r="A64" s="3">
        <v>10</v>
      </c>
      <c r="B64" s="9" t="s">
        <v>174</v>
      </c>
      <c r="C64" s="4" t="s">
        <v>62</v>
      </c>
      <c r="D64" s="6">
        <v>646</v>
      </c>
      <c r="E64" s="8"/>
      <c r="F64" s="8">
        <f t="shared" si="2"/>
        <v>0</v>
      </c>
    </row>
    <row r="65" spans="1:6" ht="25.5" x14ac:dyDescent="0.2">
      <c r="A65" s="3">
        <v>11</v>
      </c>
      <c r="B65" s="7" t="s">
        <v>19</v>
      </c>
      <c r="C65" s="4" t="s">
        <v>62</v>
      </c>
      <c r="D65" s="6">
        <v>646</v>
      </c>
      <c r="E65" s="8"/>
      <c r="F65" s="8">
        <f t="shared" si="2"/>
        <v>0</v>
      </c>
    </row>
    <row r="66" spans="1:6" ht="25.5" x14ac:dyDescent="0.2">
      <c r="A66" s="3">
        <v>12</v>
      </c>
      <c r="B66" s="9" t="s">
        <v>180</v>
      </c>
      <c r="C66" s="4" t="s">
        <v>62</v>
      </c>
      <c r="D66" s="6">
        <v>715</v>
      </c>
      <c r="E66" s="8"/>
      <c r="F66" s="8">
        <f t="shared" si="2"/>
        <v>0</v>
      </c>
    </row>
    <row r="67" spans="1:6" ht="38.25" x14ac:dyDescent="0.2">
      <c r="A67" s="3">
        <v>13</v>
      </c>
      <c r="B67" s="7" t="s">
        <v>47</v>
      </c>
      <c r="C67" s="4" t="s">
        <v>63</v>
      </c>
      <c r="D67" s="6">
        <f>D58*0.4</f>
        <v>43.120000000000005</v>
      </c>
      <c r="E67" s="8"/>
      <c r="F67" s="8">
        <f t="shared" si="2"/>
        <v>0</v>
      </c>
    </row>
    <row r="68" spans="1:6" ht="15" x14ac:dyDescent="0.2">
      <c r="A68" s="3">
        <v>14</v>
      </c>
      <c r="B68" s="9" t="s">
        <v>110</v>
      </c>
      <c r="C68" s="4" t="s">
        <v>63</v>
      </c>
      <c r="D68" s="6">
        <f>30*0.45</f>
        <v>13.5</v>
      </c>
      <c r="E68" s="8"/>
      <c r="F68" s="8">
        <f t="shared" si="2"/>
        <v>0</v>
      </c>
    </row>
    <row r="69" spans="1:6" ht="25.5" x14ac:dyDescent="0.2">
      <c r="A69" s="3">
        <v>15</v>
      </c>
      <c r="B69" s="9" t="s">
        <v>12</v>
      </c>
      <c r="C69" s="4" t="s">
        <v>58</v>
      </c>
      <c r="D69" s="25">
        <f>8*4.5</f>
        <v>36</v>
      </c>
      <c r="E69" s="8"/>
      <c r="F69" s="8">
        <f t="shared" si="2"/>
        <v>0</v>
      </c>
    </row>
    <row r="70" spans="1:6" ht="38.25" x14ac:dyDescent="0.2">
      <c r="A70" s="3">
        <v>16</v>
      </c>
      <c r="B70" s="9" t="s">
        <v>127</v>
      </c>
      <c r="C70" s="3" t="s">
        <v>1</v>
      </c>
      <c r="D70" s="6">
        <f>3</f>
        <v>3</v>
      </c>
      <c r="E70" s="8"/>
      <c r="F70" s="8">
        <f t="shared" si="2"/>
        <v>0</v>
      </c>
    </row>
    <row r="71" spans="1:6" ht="66.75" customHeight="1" x14ac:dyDescent="0.2">
      <c r="A71" s="3">
        <v>17</v>
      </c>
      <c r="B71" s="42" t="s">
        <v>137</v>
      </c>
      <c r="C71" s="37" t="s">
        <v>1</v>
      </c>
      <c r="D71" s="44">
        <v>1</v>
      </c>
      <c r="E71" s="61"/>
      <c r="F71" s="38">
        <f t="shared" si="2"/>
        <v>0</v>
      </c>
    </row>
    <row r="72" spans="1:6" ht="13.5" x14ac:dyDescent="0.2">
      <c r="A72" s="3">
        <v>18</v>
      </c>
      <c r="B72" s="9" t="s">
        <v>64</v>
      </c>
      <c r="C72" s="4" t="s">
        <v>113</v>
      </c>
      <c r="D72" s="6">
        <v>16.079999999999998</v>
      </c>
      <c r="E72" s="8">
        <f>E26</f>
        <v>0</v>
      </c>
      <c r="F72" s="8">
        <f t="shared" si="2"/>
        <v>0</v>
      </c>
    </row>
    <row r="73" spans="1:6" x14ac:dyDescent="0.2">
      <c r="A73" s="39"/>
      <c r="B73" s="40"/>
      <c r="C73" s="51"/>
      <c r="D73" s="41"/>
      <c r="E73" s="31" t="s">
        <v>120</v>
      </c>
      <c r="F73" s="31">
        <f>F7+F27+F54</f>
        <v>0</v>
      </c>
    </row>
    <row r="74" spans="1:6" x14ac:dyDescent="0.2">
      <c r="A74" s="39"/>
      <c r="B74" s="40"/>
      <c r="C74" s="51"/>
      <c r="D74" s="41"/>
      <c r="E74" s="33" t="s">
        <v>142</v>
      </c>
      <c r="F74" s="32">
        <f>0.1*F73</f>
        <v>0</v>
      </c>
    </row>
    <row r="75" spans="1:6" x14ac:dyDescent="0.2">
      <c r="A75" s="39"/>
      <c r="B75" s="40"/>
      <c r="C75" s="51"/>
      <c r="D75" s="41"/>
      <c r="E75" s="29" t="s">
        <v>143</v>
      </c>
      <c r="F75" s="31">
        <f>SUM(F73:F74)</f>
        <v>0</v>
      </c>
    </row>
    <row r="76" spans="1:6" x14ac:dyDescent="0.2">
      <c r="A76" s="39"/>
      <c r="B76" s="40"/>
      <c r="C76" s="51"/>
      <c r="D76" s="41"/>
      <c r="E76" s="33" t="s">
        <v>121</v>
      </c>
      <c r="F76" s="32">
        <f>0.2*F75</f>
        <v>0</v>
      </c>
    </row>
    <row r="77" spans="1:6" x14ac:dyDescent="0.2">
      <c r="A77" s="39"/>
      <c r="B77" s="40"/>
      <c r="C77" s="51"/>
      <c r="D77" s="41"/>
      <c r="E77" s="29" t="s">
        <v>122</v>
      </c>
      <c r="F77" s="31">
        <f>SUM(F75:F76)</f>
        <v>0</v>
      </c>
    </row>
    <row r="78" spans="1:6" s="27" customFormat="1" ht="15" x14ac:dyDescent="0.2">
      <c r="A78" s="2" t="s">
        <v>35</v>
      </c>
      <c r="B78" s="83" t="s">
        <v>33</v>
      </c>
      <c r="C78" s="83"/>
      <c r="D78" s="83"/>
      <c r="E78" s="68"/>
      <c r="F78" s="12">
        <f>SUM(F79:F92)</f>
        <v>0</v>
      </c>
    </row>
    <row r="79" spans="1:6" x14ac:dyDescent="0.2">
      <c r="A79" s="4">
        <v>1</v>
      </c>
      <c r="B79" s="9" t="s">
        <v>26</v>
      </c>
      <c r="C79" s="4" t="s">
        <v>58</v>
      </c>
      <c r="D79" s="23">
        <v>270</v>
      </c>
      <c r="E79" s="24"/>
      <c r="F79" s="24">
        <f t="shared" ref="F79:F92" si="3">ROUND(D79*E79,2)</f>
        <v>0</v>
      </c>
    </row>
    <row r="80" spans="1:6" x14ac:dyDescent="0.2">
      <c r="A80" s="48">
        <v>2</v>
      </c>
      <c r="B80" s="62" t="s">
        <v>9</v>
      </c>
      <c r="C80" s="48" t="s">
        <v>62</v>
      </c>
      <c r="D80" s="63">
        <v>642.58000000000004</v>
      </c>
      <c r="E80" s="64"/>
      <c r="F80" s="64">
        <f t="shared" si="3"/>
        <v>0</v>
      </c>
    </row>
    <row r="81" spans="1:6" ht="25.5" x14ac:dyDescent="0.2">
      <c r="A81" s="4">
        <v>3</v>
      </c>
      <c r="B81" s="9" t="s">
        <v>61</v>
      </c>
      <c r="C81" s="4" t="s">
        <v>58</v>
      </c>
      <c r="D81" s="23">
        <v>30</v>
      </c>
      <c r="E81" s="24"/>
      <c r="F81" s="24">
        <f t="shared" si="3"/>
        <v>0</v>
      </c>
    </row>
    <row r="82" spans="1:6" ht="25.5" x14ac:dyDescent="0.2">
      <c r="A82" s="48">
        <v>4</v>
      </c>
      <c r="B82" s="7" t="s">
        <v>8</v>
      </c>
      <c r="C82" s="4" t="s">
        <v>58</v>
      </c>
      <c r="D82" s="6">
        <v>107.80000000000001</v>
      </c>
      <c r="E82" s="8"/>
      <c r="F82" s="8">
        <f t="shared" si="3"/>
        <v>0</v>
      </c>
    </row>
    <row r="83" spans="1:6" ht="25.5" x14ac:dyDescent="0.2">
      <c r="A83" s="4">
        <v>5</v>
      </c>
      <c r="B83" s="9" t="s">
        <v>111</v>
      </c>
      <c r="C83" s="4" t="s">
        <v>59</v>
      </c>
      <c r="D83" s="6">
        <v>14</v>
      </c>
      <c r="E83" s="8"/>
      <c r="F83" s="8">
        <f t="shared" si="3"/>
        <v>0</v>
      </c>
    </row>
    <row r="84" spans="1:6" ht="25.5" x14ac:dyDescent="0.2">
      <c r="A84" s="48">
        <v>6</v>
      </c>
      <c r="B84" s="9" t="s">
        <v>174</v>
      </c>
      <c r="C84" s="4" t="s">
        <v>62</v>
      </c>
      <c r="D84" s="6">
        <v>642.58000000000004</v>
      </c>
      <c r="E84" s="8"/>
      <c r="F84" s="8">
        <f t="shared" si="3"/>
        <v>0</v>
      </c>
    </row>
    <row r="85" spans="1:6" ht="25.5" x14ac:dyDescent="0.2">
      <c r="A85" s="4">
        <v>7</v>
      </c>
      <c r="B85" s="7" t="s">
        <v>19</v>
      </c>
      <c r="C85" s="4" t="s">
        <v>62</v>
      </c>
      <c r="D85" s="6">
        <v>642.58000000000004</v>
      </c>
      <c r="E85" s="8"/>
      <c r="F85" s="8">
        <f t="shared" si="3"/>
        <v>0</v>
      </c>
    </row>
    <row r="86" spans="1:6" ht="25.5" x14ac:dyDescent="0.2">
      <c r="A86" s="48">
        <v>8</v>
      </c>
      <c r="B86" s="9" t="s">
        <v>180</v>
      </c>
      <c r="C86" s="4" t="s">
        <v>62</v>
      </c>
      <c r="D86" s="6">
        <v>723.43000000000006</v>
      </c>
      <c r="E86" s="8"/>
      <c r="F86" s="8">
        <f t="shared" si="3"/>
        <v>0</v>
      </c>
    </row>
    <row r="87" spans="1:6" ht="24" customHeight="1" x14ac:dyDescent="0.2">
      <c r="A87" s="4">
        <v>9</v>
      </c>
      <c r="B87" s="7" t="s">
        <v>47</v>
      </c>
      <c r="C87" s="4" t="s">
        <v>62</v>
      </c>
      <c r="D87" s="6">
        <f>D82*0.4</f>
        <v>43.120000000000005</v>
      </c>
      <c r="E87" s="8"/>
      <c r="F87" s="8">
        <f t="shared" si="3"/>
        <v>0</v>
      </c>
    </row>
    <row r="88" spans="1:6" ht="39.75" customHeight="1" x14ac:dyDescent="0.2">
      <c r="A88" s="48">
        <v>10</v>
      </c>
      <c r="B88" s="1" t="s">
        <v>28</v>
      </c>
      <c r="C88" s="4" t="s">
        <v>59</v>
      </c>
      <c r="D88" s="13">
        <v>14</v>
      </c>
      <c r="E88" s="8"/>
      <c r="F88" s="8">
        <f t="shared" si="3"/>
        <v>0</v>
      </c>
    </row>
    <row r="89" spans="1:6" ht="30" customHeight="1" x14ac:dyDescent="0.2">
      <c r="A89" s="4">
        <v>11</v>
      </c>
      <c r="B89" s="9" t="s">
        <v>112</v>
      </c>
      <c r="C89" s="3" t="s">
        <v>1</v>
      </c>
      <c r="D89" s="13">
        <v>3</v>
      </c>
      <c r="E89" s="8"/>
      <c r="F89" s="8">
        <f t="shared" si="3"/>
        <v>0</v>
      </c>
    </row>
    <row r="90" spans="1:6" ht="38.25" x14ac:dyDescent="0.2">
      <c r="A90" s="48">
        <v>12</v>
      </c>
      <c r="B90" s="9" t="s">
        <v>136</v>
      </c>
      <c r="C90" s="3" t="s">
        <v>1</v>
      </c>
      <c r="D90" s="25">
        <v>3</v>
      </c>
      <c r="E90" s="24"/>
      <c r="F90" s="8">
        <f t="shared" si="3"/>
        <v>0</v>
      </c>
    </row>
    <row r="91" spans="1:6" ht="25.5" x14ac:dyDescent="0.2">
      <c r="A91" s="4">
        <v>13</v>
      </c>
      <c r="B91" s="42" t="s">
        <v>12</v>
      </c>
      <c r="C91" s="43" t="s">
        <v>58</v>
      </c>
      <c r="D91" s="65">
        <f>3*10</f>
        <v>30</v>
      </c>
      <c r="E91" s="38"/>
      <c r="F91" s="38">
        <f t="shared" si="3"/>
        <v>0</v>
      </c>
    </row>
    <row r="92" spans="1:6" s="27" customFormat="1" ht="13.5" x14ac:dyDescent="0.2">
      <c r="A92" s="48">
        <v>14</v>
      </c>
      <c r="B92" s="7" t="s">
        <v>16</v>
      </c>
      <c r="C92" s="4" t="s">
        <v>113</v>
      </c>
      <c r="D92" s="6">
        <v>16.28</v>
      </c>
      <c r="E92" s="8"/>
      <c r="F92" s="8">
        <f t="shared" si="3"/>
        <v>0</v>
      </c>
    </row>
    <row r="93" spans="1:6" s="27" customFormat="1" x14ac:dyDescent="0.2">
      <c r="A93" s="51"/>
      <c r="B93" s="40"/>
      <c r="C93" s="51"/>
      <c r="D93" s="41"/>
      <c r="E93" s="31" t="s">
        <v>120</v>
      </c>
      <c r="F93" s="31">
        <f>SUM(F79:F92)</f>
        <v>0</v>
      </c>
    </row>
    <row r="94" spans="1:6" s="27" customFormat="1" x14ac:dyDescent="0.2">
      <c r="A94" s="51"/>
      <c r="B94" s="40"/>
      <c r="C94" s="51"/>
      <c r="D94" s="41"/>
      <c r="E94" s="29" t="s">
        <v>142</v>
      </c>
      <c r="F94" s="32">
        <f>0.1*F93</f>
        <v>0</v>
      </c>
    </row>
    <row r="95" spans="1:6" s="27" customFormat="1" x14ac:dyDescent="0.2">
      <c r="A95" s="51"/>
      <c r="B95" s="40"/>
      <c r="C95" s="51"/>
      <c r="D95" s="41"/>
      <c r="E95" s="29" t="s">
        <v>143</v>
      </c>
      <c r="F95" s="31">
        <f>SUM(F93:F94)</f>
        <v>0</v>
      </c>
    </row>
    <row r="96" spans="1:6" s="27" customFormat="1" x14ac:dyDescent="0.2">
      <c r="A96" s="51"/>
      <c r="B96" s="40"/>
      <c r="C96" s="51"/>
      <c r="D96" s="41"/>
      <c r="E96" s="29" t="s">
        <v>121</v>
      </c>
      <c r="F96" s="32">
        <f>0.2*F95</f>
        <v>0</v>
      </c>
    </row>
    <row r="97" spans="1:6" s="27" customFormat="1" x14ac:dyDescent="0.2">
      <c r="A97" s="51"/>
      <c r="B97" s="40"/>
      <c r="C97" s="51"/>
      <c r="D97" s="41"/>
      <c r="E97" s="29" t="s">
        <v>122</v>
      </c>
      <c r="F97" s="31">
        <f>SUM(F95:F96)</f>
        <v>0</v>
      </c>
    </row>
    <row r="98" spans="1:6" s="27" customFormat="1" ht="15" x14ac:dyDescent="0.2">
      <c r="A98" s="2" t="s">
        <v>36</v>
      </c>
      <c r="B98" s="83" t="s">
        <v>37</v>
      </c>
      <c r="C98" s="83"/>
      <c r="D98" s="83"/>
      <c r="E98" s="68"/>
      <c r="F98" s="12">
        <f>SUM(F99:F117)</f>
        <v>0</v>
      </c>
    </row>
    <row r="99" spans="1:6" x14ac:dyDescent="0.2">
      <c r="A99" s="48">
        <v>1</v>
      </c>
      <c r="B99" s="47" t="s">
        <v>9</v>
      </c>
      <c r="C99" s="48" t="s">
        <v>62</v>
      </c>
      <c r="D99" s="49">
        <v>1034.96</v>
      </c>
      <c r="E99" s="50"/>
      <c r="F99" s="50">
        <f t="shared" ref="F99:F117" si="4">ROUND(D99*E99,2)</f>
        <v>0</v>
      </c>
    </row>
    <row r="100" spans="1:6" ht="25.5" x14ac:dyDescent="0.2">
      <c r="A100" s="4">
        <v>2</v>
      </c>
      <c r="B100" s="7" t="s">
        <v>8</v>
      </c>
      <c r="C100" s="3" t="s">
        <v>2</v>
      </c>
      <c r="D100" s="6">
        <v>175</v>
      </c>
      <c r="E100" s="8"/>
      <c r="F100" s="8">
        <f t="shared" si="4"/>
        <v>0</v>
      </c>
    </row>
    <row r="101" spans="1:6" ht="25.5" x14ac:dyDescent="0.2">
      <c r="A101" s="48">
        <v>3</v>
      </c>
      <c r="B101" s="9" t="s">
        <v>174</v>
      </c>
      <c r="C101" s="4" t="s">
        <v>62</v>
      </c>
      <c r="D101" s="6">
        <v>1034.96</v>
      </c>
      <c r="E101" s="8"/>
      <c r="F101" s="8">
        <f t="shared" si="4"/>
        <v>0</v>
      </c>
    </row>
    <row r="102" spans="1:6" ht="25.5" x14ac:dyDescent="0.2">
      <c r="A102" s="4">
        <v>4</v>
      </c>
      <c r="B102" s="7" t="s">
        <v>19</v>
      </c>
      <c r="C102" s="4" t="s">
        <v>62</v>
      </c>
      <c r="D102" s="6">
        <v>1034.96</v>
      </c>
      <c r="E102" s="8"/>
      <c r="F102" s="8">
        <f t="shared" si="4"/>
        <v>0</v>
      </c>
    </row>
    <row r="103" spans="1:6" ht="25.5" x14ac:dyDescent="0.2">
      <c r="A103" s="48">
        <v>5</v>
      </c>
      <c r="B103" s="9" t="s">
        <v>180</v>
      </c>
      <c r="C103" s="4" t="s">
        <v>62</v>
      </c>
      <c r="D103" s="6">
        <v>1213.6100000000001</v>
      </c>
      <c r="E103" s="8"/>
      <c r="F103" s="8">
        <f t="shared" si="4"/>
        <v>0</v>
      </c>
    </row>
    <row r="104" spans="1:6" ht="38.25" x14ac:dyDescent="0.2">
      <c r="A104" s="4">
        <v>6</v>
      </c>
      <c r="B104" s="7" t="s">
        <v>47</v>
      </c>
      <c r="C104" s="4" t="s">
        <v>62</v>
      </c>
      <c r="D104" s="6">
        <f>D100*0.64</f>
        <v>112</v>
      </c>
      <c r="E104" s="8"/>
      <c r="F104" s="8">
        <f t="shared" si="4"/>
        <v>0</v>
      </c>
    </row>
    <row r="105" spans="1:6" ht="30" customHeight="1" x14ac:dyDescent="0.2">
      <c r="A105" s="48">
        <v>7</v>
      </c>
      <c r="B105" s="9" t="s">
        <v>112</v>
      </c>
      <c r="C105" s="3" t="s">
        <v>1</v>
      </c>
      <c r="D105" s="6">
        <v>7</v>
      </c>
      <c r="E105" s="8"/>
      <c r="F105" s="8">
        <f t="shared" si="4"/>
        <v>0</v>
      </c>
    </row>
    <row r="106" spans="1:6" ht="25.5" x14ac:dyDescent="0.2">
      <c r="A106" s="4">
        <v>8</v>
      </c>
      <c r="B106" s="9" t="s">
        <v>12</v>
      </c>
      <c r="C106" s="4" t="s">
        <v>58</v>
      </c>
      <c r="D106" s="23">
        <f>7*6</f>
        <v>42</v>
      </c>
      <c r="E106" s="8"/>
      <c r="F106" s="8">
        <f t="shared" si="4"/>
        <v>0</v>
      </c>
    </row>
    <row r="107" spans="1:6" ht="38.25" x14ac:dyDescent="0.2">
      <c r="A107" s="48">
        <v>9</v>
      </c>
      <c r="B107" s="9" t="s">
        <v>136</v>
      </c>
      <c r="C107" s="3" t="s">
        <v>1</v>
      </c>
      <c r="D107" s="25">
        <v>7</v>
      </c>
      <c r="E107" s="24"/>
      <c r="F107" s="8">
        <f t="shared" si="4"/>
        <v>0</v>
      </c>
    </row>
    <row r="108" spans="1:6" ht="38.25" x14ac:dyDescent="0.2">
      <c r="A108" s="4">
        <v>10</v>
      </c>
      <c r="B108" s="9" t="s">
        <v>114</v>
      </c>
      <c r="C108" s="3" t="s">
        <v>59</v>
      </c>
      <c r="D108" s="6">
        <v>1</v>
      </c>
      <c r="E108" s="14"/>
      <c r="F108" s="8">
        <f t="shared" si="4"/>
        <v>0</v>
      </c>
    </row>
    <row r="109" spans="1:6" ht="25.5" x14ac:dyDescent="0.2">
      <c r="A109" s="48">
        <v>11</v>
      </c>
      <c r="B109" s="9" t="s">
        <v>107</v>
      </c>
      <c r="C109" s="4" t="s">
        <v>72</v>
      </c>
      <c r="D109" s="6">
        <v>20</v>
      </c>
      <c r="E109" s="8"/>
      <c r="F109" s="8">
        <f t="shared" si="4"/>
        <v>0</v>
      </c>
    </row>
    <row r="110" spans="1:6" ht="25.5" x14ac:dyDescent="0.2">
      <c r="A110" s="4">
        <v>12</v>
      </c>
      <c r="B110" s="9" t="s">
        <v>73</v>
      </c>
      <c r="C110" s="4" t="s">
        <v>72</v>
      </c>
      <c r="D110" s="6">
        <v>18</v>
      </c>
      <c r="E110" s="8"/>
      <c r="F110" s="8">
        <f t="shared" si="4"/>
        <v>0</v>
      </c>
    </row>
    <row r="111" spans="1:6" ht="25.5" x14ac:dyDescent="0.2">
      <c r="A111" s="48">
        <v>13</v>
      </c>
      <c r="B111" s="7" t="s">
        <v>68</v>
      </c>
      <c r="C111" s="3" t="s">
        <v>59</v>
      </c>
      <c r="D111" s="13">
        <v>2</v>
      </c>
      <c r="E111" s="8"/>
      <c r="F111" s="8">
        <f t="shared" si="4"/>
        <v>0</v>
      </c>
    </row>
    <row r="112" spans="1:6" ht="25.5" x14ac:dyDescent="0.2">
      <c r="A112" s="4">
        <v>14</v>
      </c>
      <c r="B112" s="7" t="s">
        <v>69</v>
      </c>
      <c r="C112" s="4" t="s">
        <v>72</v>
      </c>
      <c r="D112" s="6">
        <v>24</v>
      </c>
      <c r="E112" s="8"/>
      <c r="F112" s="8">
        <f t="shared" si="4"/>
        <v>0</v>
      </c>
    </row>
    <row r="113" spans="1:6" ht="25.5" x14ac:dyDescent="0.2">
      <c r="A113" s="48">
        <v>15</v>
      </c>
      <c r="B113" s="7" t="s">
        <v>70</v>
      </c>
      <c r="C113" s="3" t="s">
        <v>59</v>
      </c>
      <c r="D113" s="13">
        <v>2</v>
      </c>
      <c r="E113" s="8"/>
      <c r="F113" s="8">
        <f t="shared" si="4"/>
        <v>0</v>
      </c>
    </row>
    <row r="114" spans="1:6" ht="25.5" x14ac:dyDescent="0.2">
      <c r="A114" s="4">
        <v>16</v>
      </c>
      <c r="B114" s="9" t="s">
        <v>75</v>
      </c>
      <c r="C114" s="4" t="s">
        <v>74</v>
      </c>
      <c r="D114" s="13">
        <v>2</v>
      </c>
      <c r="E114" s="8"/>
      <c r="F114" s="8">
        <f t="shared" si="4"/>
        <v>0</v>
      </c>
    </row>
    <row r="115" spans="1:6" ht="25.5" x14ac:dyDescent="0.2">
      <c r="A115" s="48">
        <v>17</v>
      </c>
      <c r="B115" s="9" t="s">
        <v>76</v>
      </c>
      <c r="C115" s="4" t="s">
        <v>59</v>
      </c>
      <c r="D115" s="13">
        <v>1</v>
      </c>
      <c r="E115" s="15"/>
      <c r="F115" s="8">
        <f t="shared" si="4"/>
        <v>0</v>
      </c>
    </row>
    <row r="116" spans="1:6" ht="65.25" customHeight="1" x14ac:dyDescent="0.2">
      <c r="A116" s="4">
        <v>18</v>
      </c>
      <c r="B116" s="9" t="s">
        <v>137</v>
      </c>
      <c r="C116" s="3" t="s">
        <v>1</v>
      </c>
      <c r="D116" s="13">
        <v>1</v>
      </c>
      <c r="E116" s="14"/>
      <c r="F116" s="8">
        <f t="shared" si="4"/>
        <v>0</v>
      </c>
    </row>
    <row r="117" spans="1:6" ht="13.5" x14ac:dyDescent="0.2">
      <c r="A117" s="48">
        <v>19</v>
      </c>
      <c r="B117" s="9" t="s">
        <v>64</v>
      </c>
      <c r="C117" s="4" t="s">
        <v>113</v>
      </c>
      <c r="D117" s="6">
        <v>26.05</v>
      </c>
      <c r="E117" s="8"/>
      <c r="F117" s="8">
        <f t="shared" si="4"/>
        <v>0</v>
      </c>
    </row>
    <row r="118" spans="1:6" ht="15" customHeight="1" x14ac:dyDescent="0.2">
      <c r="A118" s="74"/>
      <c r="B118" s="83" t="s">
        <v>39</v>
      </c>
      <c r="C118" s="83"/>
      <c r="D118" s="83"/>
      <c r="E118" s="68"/>
      <c r="F118" s="12">
        <f>SUM(F119:F126)</f>
        <v>0</v>
      </c>
    </row>
    <row r="119" spans="1:6" x14ac:dyDescent="0.2">
      <c r="A119" s="4">
        <v>1</v>
      </c>
      <c r="B119" s="7" t="s">
        <v>9</v>
      </c>
      <c r="C119" s="4" t="s">
        <v>62</v>
      </c>
      <c r="D119" s="6">
        <v>21.599999999999998</v>
      </c>
      <c r="E119" s="73"/>
      <c r="F119" s="8">
        <f t="shared" ref="F119:F135" si="5">ROUND(D119*E119,2)</f>
        <v>0</v>
      </c>
    </row>
    <row r="120" spans="1:6" ht="25.5" x14ac:dyDescent="0.2">
      <c r="A120" s="4">
        <v>2</v>
      </c>
      <c r="B120" s="7" t="s">
        <v>8</v>
      </c>
      <c r="C120" s="4" t="s">
        <v>72</v>
      </c>
      <c r="D120" s="6">
        <v>18.600000000000001</v>
      </c>
      <c r="E120" s="73"/>
      <c r="F120" s="8">
        <f t="shared" si="5"/>
        <v>0</v>
      </c>
    </row>
    <row r="121" spans="1:6" ht="25.5" x14ac:dyDescent="0.2">
      <c r="A121" s="4">
        <v>3</v>
      </c>
      <c r="B121" s="9" t="s">
        <v>138</v>
      </c>
      <c r="C121" s="4" t="s">
        <v>62</v>
      </c>
      <c r="D121" s="6">
        <v>21.599999999999998</v>
      </c>
      <c r="E121" s="73"/>
      <c r="F121" s="8">
        <f t="shared" si="5"/>
        <v>0</v>
      </c>
    </row>
    <row r="122" spans="1:6" ht="25.5" x14ac:dyDescent="0.2">
      <c r="A122" s="4">
        <v>4</v>
      </c>
      <c r="B122" s="7" t="s">
        <v>19</v>
      </c>
      <c r="C122" s="4" t="s">
        <v>62</v>
      </c>
      <c r="D122" s="6">
        <v>21.599999999999998</v>
      </c>
      <c r="E122" s="73"/>
      <c r="F122" s="8">
        <f t="shared" si="5"/>
        <v>0</v>
      </c>
    </row>
    <row r="123" spans="1:6" ht="25.5" x14ac:dyDescent="0.2">
      <c r="A123" s="4">
        <v>5</v>
      </c>
      <c r="B123" s="9" t="s">
        <v>181</v>
      </c>
      <c r="C123" s="4" t="s">
        <v>62</v>
      </c>
      <c r="D123" s="6">
        <v>30.48</v>
      </c>
      <c r="E123" s="73"/>
      <c r="F123" s="8">
        <f t="shared" si="5"/>
        <v>0</v>
      </c>
    </row>
    <row r="124" spans="1:6" ht="38.25" x14ac:dyDescent="0.2">
      <c r="A124" s="4">
        <v>6</v>
      </c>
      <c r="B124" s="7" t="s">
        <v>47</v>
      </c>
      <c r="C124" s="4" t="s">
        <v>62</v>
      </c>
      <c r="D124" s="6">
        <v>5.58</v>
      </c>
      <c r="E124" s="73"/>
      <c r="F124" s="8">
        <f t="shared" si="5"/>
        <v>0</v>
      </c>
    </row>
    <row r="125" spans="1:6" x14ac:dyDescent="0.2">
      <c r="A125" s="4">
        <v>7</v>
      </c>
      <c r="B125" s="9" t="s">
        <v>115</v>
      </c>
      <c r="C125" s="3" t="s">
        <v>1</v>
      </c>
      <c r="D125" s="13">
        <v>2</v>
      </c>
      <c r="E125" s="73"/>
      <c r="F125" s="8">
        <f t="shared" si="5"/>
        <v>0</v>
      </c>
    </row>
    <row r="126" spans="1:6" x14ac:dyDescent="0.2">
      <c r="A126" s="4">
        <v>8</v>
      </c>
      <c r="B126" s="9" t="s">
        <v>116</v>
      </c>
      <c r="C126" s="3" t="s">
        <v>1</v>
      </c>
      <c r="D126" s="13">
        <v>2</v>
      </c>
      <c r="E126" s="73"/>
      <c r="F126" s="8">
        <f t="shared" si="5"/>
        <v>0</v>
      </c>
    </row>
    <row r="127" spans="1:6" s="27" customFormat="1" ht="15" customHeight="1" x14ac:dyDescent="0.2">
      <c r="A127" s="75"/>
      <c r="B127" s="83" t="s">
        <v>40</v>
      </c>
      <c r="C127" s="83"/>
      <c r="D127" s="83"/>
      <c r="E127" s="68"/>
      <c r="F127" s="12">
        <f>SUM(F128:F135)</f>
        <v>0</v>
      </c>
    </row>
    <row r="128" spans="1:6" x14ac:dyDescent="0.2">
      <c r="A128" s="3">
        <v>1</v>
      </c>
      <c r="B128" s="7" t="s">
        <v>9</v>
      </c>
      <c r="C128" s="4" t="s">
        <v>62</v>
      </c>
      <c r="D128" s="6">
        <v>30.75</v>
      </c>
      <c r="E128" s="8"/>
      <c r="F128" s="8">
        <f t="shared" si="5"/>
        <v>0</v>
      </c>
    </row>
    <row r="129" spans="1:6" ht="25.5" x14ac:dyDescent="0.2">
      <c r="A129" s="3">
        <v>2</v>
      </c>
      <c r="B129" s="7" t="s">
        <v>8</v>
      </c>
      <c r="C129" s="4" t="s">
        <v>72</v>
      </c>
      <c r="D129" s="6">
        <v>22.84</v>
      </c>
      <c r="E129" s="8"/>
      <c r="F129" s="8">
        <f t="shared" si="5"/>
        <v>0</v>
      </c>
    </row>
    <row r="130" spans="1:6" ht="25.5" x14ac:dyDescent="0.2">
      <c r="A130" s="3">
        <v>3</v>
      </c>
      <c r="B130" s="9" t="s">
        <v>138</v>
      </c>
      <c r="C130" s="4" t="s">
        <v>62</v>
      </c>
      <c r="D130" s="6">
        <v>30.75</v>
      </c>
      <c r="E130" s="8"/>
      <c r="F130" s="8">
        <f t="shared" si="5"/>
        <v>0</v>
      </c>
    </row>
    <row r="131" spans="1:6" ht="25.5" x14ac:dyDescent="0.2">
      <c r="A131" s="3">
        <v>4</v>
      </c>
      <c r="B131" s="7" t="s">
        <v>19</v>
      </c>
      <c r="C131" s="4" t="s">
        <v>62</v>
      </c>
      <c r="D131" s="6">
        <v>30.75</v>
      </c>
      <c r="E131" s="8"/>
      <c r="F131" s="8">
        <f t="shared" si="5"/>
        <v>0</v>
      </c>
    </row>
    <row r="132" spans="1:6" ht="25.5" x14ac:dyDescent="0.2">
      <c r="A132" s="3">
        <v>5</v>
      </c>
      <c r="B132" s="9" t="s">
        <v>181</v>
      </c>
      <c r="C132" s="4" t="s">
        <v>62</v>
      </c>
      <c r="D132" s="6">
        <v>47.88</v>
      </c>
      <c r="E132" s="8"/>
      <c r="F132" s="8">
        <f t="shared" si="5"/>
        <v>0</v>
      </c>
    </row>
    <row r="133" spans="1:6" ht="38.25" x14ac:dyDescent="0.2">
      <c r="A133" s="3">
        <v>6</v>
      </c>
      <c r="B133" s="7" t="s">
        <v>47</v>
      </c>
      <c r="C133" s="4" t="s">
        <v>62</v>
      </c>
      <c r="D133" s="6">
        <v>6.85</v>
      </c>
      <c r="E133" s="8"/>
      <c r="F133" s="8">
        <f t="shared" si="5"/>
        <v>0</v>
      </c>
    </row>
    <row r="134" spans="1:6" x14ac:dyDescent="0.2">
      <c r="A134" s="3">
        <v>7</v>
      </c>
      <c r="B134" s="9" t="s">
        <v>115</v>
      </c>
      <c r="C134" s="3" t="s">
        <v>1</v>
      </c>
      <c r="D134" s="13">
        <v>2</v>
      </c>
      <c r="E134" s="8"/>
      <c r="F134" s="8">
        <f t="shared" si="5"/>
        <v>0</v>
      </c>
    </row>
    <row r="135" spans="1:6" x14ac:dyDescent="0.2">
      <c r="A135" s="3">
        <v>8</v>
      </c>
      <c r="B135" s="9" t="s">
        <v>116</v>
      </c>
      <c r="C135" s="3" t="s">
        <v>1</v>
      </c>
      <c r="D135" s="13">
        <v>2</v>
      </c>
      <c r="E135" s="8"/>
      <c r="F135" s="8">
        <f t="shared" si="5"/>
        <v>0</v>
      </c>
    </row>
    <row r="136" spans="1:6" x14ac:dyDescent="0.2">
      <c r="B136" s="5"/>
      <c r="E136" s="31" t="s">
        <v>120</v>
      </c>
      <c r="F136" s="31">
        <f>F98+F118+F127</f>
        <v>0</v>
      </c>
    </row>
    <row r="137" spans="1:6" x14ac:dyDescent="0.2">
      <c r="E137" s="33" t="s">
        <v>142</v>
      </c>
      <c r="F137" s="32">
        <f>0.1*F136</f>
        <v>0</v>
      </c>
    </row>
    <row r="138" spans="1:6" x14ac:dyDescent="0.2">
      <c r="E138" s="29" t="s">
        <v>143</v>
      </c>
      <c r="F138" s="31">
        <f>SUM(F136:F137)</f>
        <v>0</v>
      </c>
    </row>
    <row r="139" spans="1:6" x14ac:dyDescent="0.2">
      <c r="E139" s="33" t="s">
        <v>121</v>
      </c>
      <c r="F139" s="32">
        <f>0.2*F138</f>
        <v>0</v>
      </c>
    </row>
    <row r="140" spans="1:6" x14ac:dyDescent="0.2">
      <c r="E140" s="29" t="s">
        <v>122</v>
      </c>
      <c r="F140" s="31">
        <f>SUM(F138:F139)</f>
        <v>0</v>
      </c>
    </row>
    <row r="142" spans="1:6" ht="15" x14ac:dyDescent="0.2">
      <c r="C142" s="81" t="s">
        <v>144</v>
      </c>
      <c r="D142" s="82"/>
      <c r="E142" s="82"/>
      <c r="F142" s="82"/>
    </row>
    <row r="143" spans="1:6" x14ac:dyDescent="0.2">
      <c r="E143" s="35" t="s">
        <v>145</v>
      </c>
      <c r="F143" s="31">
        <f>F73+F93+F136</f>
        <v>0</v>
      </c>
    </row>
    <row r="144" spans="1:6" x14ac:dyDescent="0.2">
      <c r="E144" s="33" t="s">
        <v>142</v>
      </c>
      <c r="F144" s="36">
        <f>F74+F94+F137</f>
        <v>0</v>
      </c>
    </row>
    <row r="145" spans="5:6" x14ac:dyDescent="0.2">
      <c r="E145" s="35" t="s">
        <v>146</v>
      </c>
      <c r="F145" s="31">
        <f t="shared" ref="F145" si="6">F75+F95+F138</f>
        <v>0</v>
      </c>
    </row>
    <row r="146" spans="5:6" x14ac:dyDescent="0.2">
      <c r="E146" s="33" t="s">
        <v>121</v>
      </c>
      <c r="F146" s="32">
        <f>0.2*F145</f>
        <v>0</v>
      </c>
    </row>
    <row r="147" spans="5:6" x14ac:dyDescent="0.2">
      <c r="E147" s="29" t="s">
        <v>122</v>
      </c>
      <c r="F147" s="31">
        <f>SUM(F145:F146)</f>
        <v>0</v>
      </c>
    </row>
  </sheetData>
  <autoFilter ref="A4:F135"/>
  <mergeCells count="10">
    <mergeCell ref="B98:D98"/>
    <mergeCell ref="B118:D118"/>
    <mergeCell ref="B127:D127"/>
    <mergeCell ref="A2:F2"/>
    <mergeCell ref="C142:F142"/>
    <mergeCell ref="A5:D5"/>
    <mergeCell ref="A6:D6"/>
    <mergeCell ref="B27:D27"/>
    <mergeCell ref="B54:D54"/>
    <mergeCell ref="B78:D78"/>
  </mergeCells>
  <pageMargins left="0.9055118110236221" right="0.39370078740157483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2"/>
  <sheetViews>
    <sheetView workbookViewId="0">
      <pane ySplit="4" topLeftCell="A98" activePane="bottomLeft" state="frozen"/>
      <selection pane="bottomLeft" activeCell="B111" sqref="B111"/>
    </sheetView>
  </sheetViews>
  <sheetFormatPr defaultRowHeight="12.75" x14ac:dyDescent="0.2"/>
  <cols>
    <col min="1" max="1" width="4.5703125" style="16" customWidth="1"/>
    <col min="2" max="2" width="42.140625" style="17" customWidth="1"/>
    <col min="3" max="3" width="6.5703125" style="18" customWidth="1"/>
    <col min="4" max="4" width="10.85546875" style="19" customWidth="1"/>
    <col min="5" max="5" width="10.5703125" style="19" customWidth="1"/>
    <col min="6" max="6" width="14.5703125" style="19" customWidth="1"/>
    <col min="7" max="7" width="14" style="5" bestFit="1" customWidth="1"/>
    <col min="8" max="16384" width="9.140625" style="5"/>
  </cols>
  <sheetData>
    <row r="2" spans="1:6" ht="15" customHeight="1" x14ac:dyDescent="0.2">
      <c r="A2" s="80" t="s">
        <v>56</v>
      </c>
      <c r="B2" s="80"/>
      <c r="C2" s="80"/>
      <c r="D2" s="80"/>
      <c r="E2" s="80"/>
      <c r="F2" s="80"/>
    </row>
    <row r="4" spans="1:6" s="26" customFormat="1" ht="27" customHeight="1" x14ac:dyDescent="0.2">
      <c r="A4" s="2" t="s">
        <v>0</v>
      </c>
      <c r="B4" s="10" t="s">
        <v>3</v>
      </c>
      <c r="C4" s="34" t="s">
        <v>139</v>
      </c>
      <c r="D4" s="10" t="s">
        <v>140</v>
      </c>
      <c r="E4" s="11" t="s">
        <v>55</v>
      </c>
      <c r="F4" s="11" t="s">
        <v>57</v>
      </c>
    </row>
    <row r="5" spans="1:6" s="27" customFormat="1" ht="15" customHeight="1" x14ac:dyDescent="0.2">
      <c r="A5" s="84" t="s">
        <v>168</v>
      </c>
      <c r="B5" s="84"/>
      <c r="C5" s="84"/>
      <c r="D5" s="84"/>
      <c r="E5" s="68"/>
      <c r="F5" s="12">
        <f>SUM(F6:F25)</f>
        <v>0</v>
      </c>
    </row>
    <row r="6" spans="1:6" x14ac:dyDescent="0.2">
      <c r="A6" s="3">
        <v>1</v>
      </c>
      <c r="B6" s="7" t="s">
        <v>9</v>
      </c>
      <c r="C6" s="4" t="s">
        <v>62</v>
      </c>
      <c r="D6" s="6">
        <f>19.7*54.2</f>
        <v>1067.74</v>
      </c>
      <c r="E6" s="8"/>
      <c r="F6" s="8">
        <f t="shared" ref="F6:F77" si="0">ROUND(D6*E6,2)</f>
        <v>0</v>
      </c>
    </row>
    <row r="7" spans="1:6" x14ac:dyDescent="0.2">
      <c r="A7" s="3">
        <v>2</v>
      </c>
      <c r="B7" s="7" t="s">
        <v>6</v>
      </c>
      <c r="C7" s="4" t="s">
        <v>72</v>
      </c>
      <c r="D7" s="6">
        <f>2*54.2</f>
        <v>108.4</v>
      </c>
      <c r="E7" s="8"/>
      <c r="F7" s="8">
        <f t="shared" si="0"/>
        <v>0</v>
      </c>
    </row>
    <row r="8" spans="1:6" x14ac:dyDescent="0.2">
      <c r="A8" s="3">
        <v>3</v>
      </c>
      <c r="B8" s="7" t="s">
        <v>7</v>
      </c>
      <c r="C8" s="4" t="s">
        <v>72</v>
      </c>
      <c r="D8" s="6">
        <v>8</v>
      </c>
      <c r="E8" s="8"/>
      <c r="F8" s="8">
        <f t="shared" si="0"/>
        <v>0</v>
      </c>
    </row>
    <row r="9" spans="1:6" ht="25.5" x14ac:dyDescent="0.2">
      <c r="A9" s="3">
        <v>4</v>
      </c>
      <c r="B9" s="7" t="s">
        <v>8</v>
      </c>
      <c r="C9" s="4" t="s">
        <v>72</v>
      </c>
      <c r="D9" s="6">
        <f>2*19.7</f>
        <v>39.4</v>
      </c>
      <c r="E9" s="8"/>
      <c r="F9" s="8">
        <f t="shared" si="0"/>
        <v>0</v>
      </c>
    </row>
    <row r="10" spans="1:6" ht="25.5" x14ac:dyDescent="0.2">
      <c r="A10" s="3">
        <v>5</v>
      </c>
      <c r="B10" s="9" t="s">
        <v>174</v>
      </c>
      <c r="C10" s="4" t="s">
        <v>62</v>
      </c>
      <c r="D10" s="6">
        <f>D6</f>
        <v>1067.74</v>
      </c>
      <c r="E10" s="8"/>
      <c r="F10" s="8">
        <f t="shared" si="0"/>
        <v>0</v>
      </c>
    </row>
    <row r="11" spans="1:6" ht="25.5" x14ac:dyDescent="0.2">
      <c r="A11" s="3">
        <v>6</v>
      </c>
      <c r="B11" s="7" t="s">
        <v>19</v>
      </c>
      <c r="C11" s="4" t="s">
        <v>62</v>
      </c>
      <c r="D11" s="6">
        <f>D6</f>
        <v>1067.74</v>
      </c>
      <c r="E11" s="8"/>
      <c r="F11" s="8">
        <f t="shared" si="0"/>
        <v>0</v>
      </c>
    </row>
    <row r="12" spans="1:6" ht="25.5" x14ac:dyDescent="0.2">
      <c r="A12" s="3">
        <v>7</v>
      </c>
      <c r="B12" s="9" t="s">
        <v>181</v>
      </c>
      <c r="C12" s="4" t="s">
        <v>62</v>
      </c>
      <c r="D12" s="6">
        <f>D11+2*19.7*0.8</f>
        <v>1099.26</v>
      </c>
      <c r="E12" s="8"/>
      <c r="F12" s="8">
        <f t="shared" si="0"/>
        <v>0</v>
      </c>
    </row>
    <row r="13" spans="1:6" ht="38.25" x14ac:dyDescent="0.2">
      <c r="A13" s="3">
        <v>8</v>
      </c>
      <c r="B13" s="7" t="s">
        <v>47</v>
      </c>
      <c r="C13" s="4" t="s">
        <v>62</v>
      </c>
      <c r="D13" s="6">
        <f>2*19.7*0.5</f>
        <v>19.7</v>
      </c>
      <c r="E13" s="8"/>
      <c r="F13" s="8">
        <f t="shared" si="0"/>
        <v>0</v>
      </c>
    </row>
    <row r="14" spans="1:6" ht="25.5" x14ac:dyDescent="0.2">
      <c r="A14" s="3">
        <v>9</v>
      </c>
      <c r="B14" s="7" t="s">
        <v>11</v>
      </c>
      <c r="C14" s="4" t="s">
        <v>72</v>
      </c>
      <c r="D14" s="6">
        <v>108.4</v>
      </c>
      <c r="E14" s="8"/>
      <c r="F14" s="8">
        <f t="shared" si="0"/>
        <v>0</v>
      </c>
    </row>
    <row r="15" spans="1:6" ht="25.5" x14ac:dyDescent="0.2">
      <c r="A15" s="3">
        <v>10</v>
      </c>
      <c r="B15" s="7" t="s">
        <v>12</v>
      </c>
      <c r="C15" s="4" t="s">
        <v>72</v>
      </c>
      <c r="D15" s="6">
        <v>12</v>
      </c>
      <c r="E15" s="8"/>
      <c r="F15" s="8">
        <f t="shared" si="0"/>
        <v>0</v>
      </c>
    </row>
    <row r="16" spans="1:6" ht="25.5" x14ac:dyDescent="0.2">
      <c r="A16" s="3">
        <v>11</v>
      </c>
      <c r="B16" s="7" t="s">
        <v>13</v>
      </c>
      <c r="C16" s="3" t="s">
        <v>1</v>
      </c>
      <c r="D16" s="13">
        <v>8</v>
      </c>
      <c r="E16" s="8"/>
      <c r="F16" s="8">
        <f t="shared" si="0"/>
        <v>0</v>
      </c>
    </row>
    <row r="17" spans="1:6" ht="38.25" x14ac:dyDescent="0.2">
      <c r="A17" s="3">
        <v>12</v>
      </c>
      <c r="B17" s="9" t="s">
        <v>117</v>
      </c>
      <c r="C17" s="3" t="s">
        <v>59</v>
      </c>
      <c r="D17" s="13">
        <v>1</v>
      </c>
      <c r="E17" s="14"/>
      <c r="F17" s="8">
        <f t="shared" si="0"/>
        <v>0</v>
      </c>
    </row>
    <row r="18" spans="1:6" ht="25.5" x14ac:dyDescent="0.2">
      <c r="A18" s="3">
        <v>13</v>
      </c>
      <c r="B18" s="9" t="s">
        <v>107</v>
      </c>
      <c r="C18" s="4" t="s">
        <v>72</v>
      </c>
      <c r="D18" s="6">
        <v>22</v>
      </c>
      <c r="E18" s="8"/>
      <c r="F18" s="8">
        <f t="shared" si="0"/>
        <v>0</v>
      </c>
    </row>
    <row r="19" spans="1:6" ht="25.5" x14ac:dyDescent="0.2">
      <c r="A19" s="3">
        <v>14</v>
      </c>
      <c r="B19" s="9" t="s">
        <v>73</v>
      </c>
      <c r="C19" s="4" t="s">
        <v>72</v>
      </c>
      <c r="D19" s="6">
        <v>20</v>
      </c>
      <c r="E19" s="8"/>
      <c r="F19" s="8">
        <f t="shared" si="0"/>
        <v>0</v>
      </c>
    </row>
    <row r="20" spans="1:6" ht="25.5" x14ac:dyDescent="0.2">
      <c r="A20" s="3">
        <v>15</v>
      </c>
      <c r="B20" s="7" t="s">
        <v>68</v>
      </c>
      <c r="C20" s="3" t="s">
        <v>59</v>
      </c>
      <c r="D20" s="13">
        <v>2</v>
      </c>
      <c r="E20" s="8"/>
      <c r="F20" s="8">
        <f t="shared" si="0"/>
        <v>0</v>
      </c>
    </row>
    <row r="21" spans="1:6" ht="25.5" x14ac:dyDescent="0.2">
      <c r="A21" s="3">
        <v>16</v>
      </c>
      <c r="B21" s="7" t="s">
        <v>69</v>
      </c>
      <c r="C21" s="4" t="s">
        <v>72</v>
      </c>
      <c r="D21" s="6">
        <v>24</v>
      </c>
      <c r="E21" s="8"/>
      <c r="F21" s="8">
        <f t="shared" si="0"/>
        <v>0</v>
      </c>
    </row>
    <row r="22" spans="1:6" ht="25.5" x14ac:dyDescent="0.2">
      <c r="A22" s="3">
        <v>17</v>
      </c>
      <c r="B22" s="7" t="s">
        <v>70</v>
      </c>
      <c r="C22" s="3" t="s">
        <v>59</v>
      </c>
      <c r="D22" s="13">
        <v>2</v>
      </c>
      <c r="E22" s="8"/>
      <c r="F22" s="8">
        <f t="shared" si="0"/>
        <v>0</v>
      </c>
    </row>
    <row r="23" spans="1:6" ht="25.5" x14ac:dyDescent="0.2">
      <c r="A23" s="3">
        <v>18</v>
      </c>
      <c r="B23" s="9" t="s">
        <v>75</v>
      </c>
      <c r="C23" s="4" t="s">
        <v>74</v>
      </c>
      <c r="D23" s="13">
        <v>2</v>
      </c>
      <c r="E23" s="8"/>
      <c r="F23" s="8">
        <f t="shared" si="0"/>
        <v>0</v>
      </c>
    </row>
    <row r="24" spans="1:6" ht="25.5" x14ac:dyDescent="0.2">
      <c r="A24" s="3">
        <v>19</v>
      </c>
      <c r="B24" s="42" t="s">
        <v>76</v>
      </c>
      <c r="C24" s="43" t="s">
        <v>59</v>
      </c>
      <c r="D24" s="44">
        <v>1</v>
      </c>
      <c r="E24" s="45"/>
      <c r="F24" s="38">
        <f t="shared" si="0"/>
        <v>0</v>
      </c>
    </row>
    <row r="25" spans="1:6" ht="13.5" x14ac:dyDescent="0.2">
      <c r="A25" s="3">
        <v>20</v>
      </c>
      <c r="B25" s="9" t="s">
        <v>64</v>
      </c>
      <c r="C25" s="4" t="s">
        <v>113</v>
      </c>
      <c r="D25" s="6">
        <f>D6*0.025</f>
        <v>26.6935</v>
      </c>
      <c r="E25" s="8"/>
      <c r="F25" s="8">
        <f t="shared" si="0"/>
        <v>0</v>
      </c>
    </row>
    <row r="26" spans="1:6" x14ac:dyDescent="0.2">
      <c r="A26" s="39"/>
      <c r="B26" s="40"/>
      <c r="C26" s="39"/>
      <c r="D26" s="41"/>
      <c r="E26" s="31" t="s">
        <v>120</v>
      </c>
      <c r="F26" s="31">
        <f>SUM(F6:F25)</f>
        <v>0</v>
      </c>
    </row>
    <row r="27" spans="1:6" x14ac:dyDescent="0.2">
      <c r="A27" s="39"/>
      <c r="B27" s="40"/>
      <c r="C27" s="39"/>
      <c r="D27" s="41"/>
      <c r="E27" s="33" t="s">
        <v>142</v>
      </c>
      <c r="F27" s="32">
        <f>0.1*F26</f>
        <v>0</v>
      </c>
    </row>
    <row r="28" spans="1:6" x14ac:dyDescent="0.2">
      <c r="A28" s="39"/>
      <c r="B28" s="40"/>
      <c r="C28" s="39"/>
      <c r="D28" s="41"/>
      <c r="E28" s="29" t="s">
        <v>143</v>
      </c>
      <c r="F28" s="31">
        <f>SUM(F26:F27)</f>
        <v>0</v>
      </c>
    </row>
    <row r="29" spans="1:6" x14ac:dyDescent="0.2">
      <c r="A29" s="39"/>
      <c r="B29" s="40"/>
      <c r="C29" s="39"/>
      <c r="D29" s="41"/>
      <c r="E29" s="33" t="s">
        <v>121</v>
      </c>
      <c r="F29" s="32">
        <f>0.2*F28</f>
        <v>0</v>
      </c>
    </row>
    <row r="30" spans="1:6" x14ac:dyDescent="0.2">
      <c r="A30" s="39"/>
      <c r="B30" s="40"/>
      <c r="C30" s="39"/>
      <c r="D30" s="41"/>
      <c r="E30" s="29" t="s">
        <v>122</v>
      </c>
      <c r="F30" s="31">
        <f>SUM(F28:F29)</f>
        <v>0</v>
      </c>
    </row>
    <row r="31" spans="1:6" s="27" customFormat="1" ht="12.75" customHeight="1" x14ac:dyDescent="0.2">
      <c r="A31" s="85" t="s">
        <v>169</v>
      </c>
      <c r="B31" s="85"/>
      <c r="C31" s="85"/>
      <c r="D31" s="85"/>
      <c r="E31" s="76"/>
      <c r="F31" s="12">
        <f>SUM(F32:F49)</f>
        <v>0</v>
      </c>
    </row>
    <row r="32" spans="1:6" x14ac:dyDescent="0.2">
      <c r="A32" s="46">
        <v>1</v>
      </c>
      <c r="B32" s="47" t="s">
        <v>5</v>
      </c>
      <c r="C32" s="48" t="s">
        <v>62</v>
      </c>
      <c r="D32" s="49">
        <v>1822.8</v>
      </c>
      <c r="E32" s="50"/>
      <c r="F32" s="50">
        <f t="shared" si="0"/>
        <v>0</v>
      </c>
    </row>
    <row r="33" spans="1:6" x14ac:dyDescent="0.2">
      <c r="A33" s="3">
        <v>2</v>
      </c>
      <c r="B33" s="7" t="s">
        <v>9</v>
      </c>
      <c r="C33" s="4" t="s">
        <v>62</v>
      </c>
      <c r="D33" s="6">
        <f>D32</f>
        <v>1822.8</v>
      </c>
      <c r="E33" s="8"/>
      <c r="F33" s="8">
        <f t="shared" si="0"/>
        <v>0</v>
      </c>
    </row>
    <row r="34" spans="1:6" x14ac:dyDescent="0.2">
      <c r="A34" s="46">
        <v>3</v>
      </c>
      <c r="B34" s="7" t="s">
        <v>14</v>
      </c>
      <c r="C34" s="3" t="s">
        <v>2</v>
      </c>
      <c r="D34" s="6">
        <v>506</v>
      </c>
      <c r="E34" s="8"/>
      <c r="F34" s="8">
        <f t="shared" si="0"/>
        <v>0</v>
      </c>
    </row>
    <row r="35" spans="1:6" ht="25.5" x14ac:dyDescent="0.2">
      <c r="A35" s="3">
        <v>4</v>
      </c>
      <c r="B35" s="7" t="s">
        <v>8</v>
      </c>
      <c r="C35" s="3" t="s">
        <v>2</v>
      </c>
      <c r="D35" s="6">
        <v>138</v>
      </c>
      <c r="E35" s="8"/>
      <c r="F35" s="8">
        <f t="shared" si="0"/>
        <v>0</v>
      </c>
    </row>
    <row r="36" spans="1:6" ht="25.5" x14ac:dyDescent="0.2">
      <c r="A36" s="46">
        <v>5</v>
      </c>
      <c r="B36" s="7" t="s">
        <v>15</v>
      </c>
      <c r="C36" s="3" t="s">
        <v>4</v>
      </c>
      <c r="D36" s="6">
        <v>35</v>
      </c>
      <c r="E36" s="8"/>
      <c r="F36" s="8">
        <f t="shared" si="0"/>
        <v>0</v>
      </c>
    </row>
    <row r="37" spans="1:6" ht="25.5" x14ac:dyDescent="0.2">
      <c r="A37" s="3">
        <v>6</v>
      </c>
      <c r="B37" s="9" t="s">
        <v>174</v>
      </c>
      <c r="C37" s="4" t="s">
        <v>62</v>
      </c>
      <c r="D37" s="6">
        <f>D32</f>
        <v>1822.8</v>
      </c>
      <c r="E37" s="8"/>
      <c r="F37" s="8">
        <f t="shared" si="0"/>
        <v>0</v>
      </c>
    </row>
    <row r="38" spans="1:6" ht="25.5" x14ac:dyDescent="0.2">
      <c r="A38" s="46">
        <v>7</v>
      </c>
      <c r="B38" s="7" t="s">
        <v>19</v>
      </c>
      <c r="C38" s="4" t="s">
        <v>62</v>
      </c>
      <c r="D38" s="6">
        <f>D32</f>
        <v>1822.8</v>
      </c>
      <c r="E38" s="8"/>
      <c r="F38" s="8">
        <f t="shared" si="0"/>
        <v>0</v>
      </c>
    </row>
    <row r="39" spans="1:6" ht="25.5" x14ac:dyDescent="0.2">
      <c r="A39" s="3">
        <v>8</v>
      </c>
      <c r="B39" s="7" t="s">
        <v>180</v>
      </c>
      <c r="C39" s="4" t="s">
        <v>62</v>
      </c>
      <c r="D39" s="6">
        <f>D32+69</f>
        <v>1891.8</v>
      </c>
      <c r="E39" s="8"/>
      <c r="F39" s="8">
        <f t="shared" si="0"/>
        <v>0</v>
      </c>
    </row>
    <row r="40" spans="1:6" ht="38.25" x14ac:dyDescent="0.2">
      <c r="A40" s="46">
        <v>9</v>
      </c>
      <c r="B40" s="7" t="s">
        <v>10</v>
      </c>
      <c r="C40" s="4" t="s">
        <v>63</v>
      </c>
      <c r="D40" s="6">
        <v>70.38</v>
      </c>
      <c r="E40" s="8"/>
      <c r="F40" s="8">
        <f t="shared" si="0"/>
        <v>0</v>
      </c>
    </row>
    <row r="41" spans="1:6" ht="38.25" x14ac:dyDescent="0.2">
      <c r="A41" s="3">
        <v>10</v>
      </c>
      <c r="B41" s="9" t="s">
        <v>96</v>
      </c>
      <c r="C41" s="3" t="s">
        <v>59</v>
      </c>
      <c r="D41" s="13">
        <v>1</v>
      </c>
      <c r="E41" s="14"/>
      <c r="F41" s="8">
        <f t="shared" si="0"/>
        <v>0</v>
      </c>
    </row>
    <row r="42" spans="1:6" ht="30" customHeight="1" x14ac:dyDescent="0.2">
      <c r="A42" s="46">
        <v>11</v>
      </c>
      <c r="B42" s="7" t="s">
        <v>67</v>
      </c>
      <c r="C42" s="4" t="s">
        <v>72</v>
      </c>
      <c r="D42" s="6">
        <v>20</v>
      </c>
      <c r="E42" s="8"/>
      <c r="F42" s="8">
        <f t="shared" si="0"/>
        <v>0</v>
      </c>
    </row>
    <row r="43" spans="1:6" ht="25.5" customHeight="1" x14ac:dyDescent="0.2">
      <c r="A43" s="3">
        <v>12</v>
      </c>
      <c r="B43" s="9" t="s">
        <v>73</v>
      </c>
      <c r="C43" s="4" t="s">
        <v>72</v>
      </c>
      <c r="D43" s="6">
        <v>40</v>
      </c>
      <c r="E43" s="8"/>
      <c r="F43" s="8">
        <f t="shared" si="0"/>
        <v>0</v>
      </c>
    </row>
    <row r="44" spans="1:6" ht="25.5" customHeight="1" x14ac:dyDescent="0.2">
      <c r="A44" s="46">
        <v>13</v>
      </c>
      <c r="B44" s="7" t="s">
        <v>68</v>
      </c>
      <c r="C44" s="3" t="s">
        <v>59</v>
      </c>
      <c r="D44" s="13">
        <v>2</v>
      </c>
      <c r="E44" s="8"/>
      <c r="F44" s="8">
        <f t="shared" si="0"/>
        <v>0</v>
      </c>
    </row>
    <row r="45" spans="1:6" ht="25.5" customHeight="1" x14ac:dyDescent="0.2">
      <c r="A45" s="3">
        <v>14</v>
      </c>
      <c r="B45" s="7" t="s">
        <v>69</v>
      </c>
      <c r="C45" s="4" t="s">
        <v>2</v>
      </c>
      <c r="D45" s="6">
        <v>24</v>
      </c>
      <c r="E45" s="8"/>
      <c r="F45" s="8">
        <f t="shared" si="0"/>
        <v>0</v>
      </c>
    </row>
    <row r="46" spans="1:6" ht="25.5" customHeight="1" x14ac:dyDescent="0.2">
      <c r="A46" s="46">
        <v>15</v>
      </c>
      <c r="B46" s="7" t="s">
        <v>70</v>
      </c>
      <c r="C46" s="3" t="s">
        <v>59</v>
      </c>
      <c r="D46" s="13">
        <v>2</v>
      </c>
      <c r="E46" s="8"/>
      <c r="F46" s="8">
        <f t="shared" si="0"/>
        <v>0</v>
      </c>
    </row>
    <row r="47" spans="1:6" ht="25.5" customHeight="1" x14ac:dyDescent="0.2">
      <c r="A47" s="3">
        <v>16</v>
      </c>
      <c r="B47" s="9" t="s">
        <v>75</v>
      </c>
      <c r="C47" s="4" t="s">
        <v>74</v>
      </c>
      <c r="D47" s="13">
        <v>2</v>
      </c>
      <c r="E47" s="8"/>
      <c r="F47" s="8">
        <f t="shared" si="0"/>
        <v>0</v>
      </c>
    </row>
    <row r="48" spans="1:6" ht="25.5" customHeight="1" x14ac:dyDescent="0.2">
      <c r="A48" s="46">
        <v>17</v>
      </c>
      <c r="B48" s="42" t="s">
        <v>76</v>
      </c>
      <c r="C48" s="37" t="s">
        <v>59</v>
      </c>
      <c r="D48" s="44">
        <v>1</v>
      </c>
      <c r="E48" s="45"/>
      <c r="F48" s="38">
        <f t="shared" si="0"/>
        <v>0</v>
      </c>
    </row>
    <row r="49" spans="1:6" x14ac:dyDescent="0.2">
      <c r="A49" s="3">
        <v>18</v>
      </c>
      <c r="B49" s="7" t="s">
        <v>64</v>
      </c>
      <c r="C49" s="4" t="s">
        <v>98</v>
      </c>
      <c r="D49" s="6">
        <f>D32*0.025</f>
        <v>45.57</v>
      </c>
      <c r="E49" s="8"/>
      <c r="F49" s="8">
        <f t="shared" si="0"/>
        <v>0</v>
      </c>
    </row>
    <row r="50" spans="1:6" x14ac:dyDescent="0.2">
      <c r="A50" s="39"/>
      <c r="B50" s="40"/>
      <c r="C50" s="51"/>
      <c r="D50" s="41"/>
      <c r="E50" s="31"/>
      <c r="F50" s="31">
        <f>SUM(F32:F49)</f>
        <v>0</v>
      </c>
    </row>
    <row r="51" spans="1:6" x14ac:dyDescent="0.2">
      <c r="A51" s="39"/>
      <c r="B51" s="40"/>
      <c r="C51" s="51"/>
      <c r="D51" s="41"/>
      <c r="E51" s="29"/>
      <c r="F51" s="32">
        <f>0.1*F50</f>
        <v>0</v>
      </c>
    </row>
    <row r="52" spans="1:6" x14ac:dyDescent="0.2">
      <c r="A52" s="39"/>
      <c r="B52" s="40"/>
      <c r="C52" s="51"/>
      <c r="D52" s="41"/>
      <c r="E52" s="29"/>
      <c r="F52" s="31">
        <f>SUM(F50:F51)</f>
        <v>0</v>
      </c>
    </row>
    <row r="53" spans="1:6" x14ac:dyDescent="0.2">
      <c r="A53" s="39"/>
      <c r="B53" s="40"/>
      <c r="C53" s="51"/>
      <c r="D53" s="41"/>
      <c r="E53" s="29"/>
      <c r="F53" s="32">
        <f>0.2*F52</f>
        <v>0</v>
      </c>
    </row>
    <row r="54" spans="1:6" x14ac:dyDescent="0.2">
      <c r="A54" s="39"/>
      <c r="B54" s="40"/>
      <c r="C54" s="51"/>
      <c r="D54" s="41"/>
      <c r="E54" s="29"/>
      <c r="F54" s="31">
        <f>SUM(F52:F53)</f>
        <v>0</v>
      </c>
    </row>
    <row r="55" spans="1:6" s="27" customFormat="1" ht="12.75" customHeight="1" x14ac:dyDescent="0.2">
      <c r="A55" s="85" t="s">
        <v>170</v>
      </c>
      <c r="B55" s="85"/>
      <c r="C55" s="85"/>
      <c r="D55" s="85"/>
      <c r="E55" s="76"/>
      <c r="F55" s="12">
        <f>SUM(F56:F77)</f>
        <v>0</v>
      </c>
    </row>
    <row r="56" spans="1:6" x14ac:dyDescent="0.2">
      <c r="A56" s="46">
        <v>1</v>
      </c>
      <c r="B56" s="47" t="s">
        <v>5</v>
      </c>
      <c r="C56" s="48" t="s">
        <v>62</v>
      </c>
      <c r="D56" s="49">
        <f>34.3*18.65</f>
        <v>639.69499999999994</v>
      </c>
      <c r="E56" s="50"/>
      <c r="F56" s="50">
        <f t="shared" si="0"/>
        <v>0</v>
      </c>
    </row>
    <row r="57" spans="1:6" x14ac:dyDescent="0.2">
      <c r="A57" s="3">
        <v>2</v>
      </c>
      <c r="B57" s="7" t="s">
        <v>14</v>
      </c>
      <c r="C57" s="4" t="s">
        <v>97</v>
      </c>
      <c r="D57" s="6">
        <v>268</v>
      </c>
      <c r="E57" s="8"/>
      <c r="F57" s="8">
        <f t="shared" si="0"/>
        <v>0</v>
      </c>
    </row>
    <row r="58" spans="1:6" x14ac:dyDescent="0.2">
      <c r="A58" s="46">
        <v>3</v>
      </c>
      <c r="B58" s="7" t="s">
        <v>17</v>
      </c>
      <c r="C58" s="4" t="s">
        <v>98</v>
      </c>
      <c r="D58" s="6">
        <v>12.87</v>
      </c>
      <c r="E58" s="8"/>
      <c r="F58" s="8">
        <f t="shared" si="0"/>
        <v>0</v>
      </c>
    </row>
    <row r="59" spans="1:6" x14ac:dyDescent="0.2">
      <c r="A59" s="3">
        <v>4</v>
      </c>
      <c r="B59" s="7" t="s">
        <v>9</v>
      </c>
      <c r="C59" s="4" t="s">
        <v>62</v>
      </c>
      <c r="D59" s="6">
        <f>D56</f>
        <v>639.69499999999994</v>
      </c>
      <c r="E59" s="8"/>
      <c r="F59" s="8">
        <f t="shared" si="0"/>
        <v>0</v>
      </c>
    </row>
    <row r="60" spans="1:6" ht="25.5" x14ac:dyDescent="0.2">
      <c r="A60" s="46">
        <v>5</v>
      </c>
      <c r="B60" s="7" t="s">
        <v>8</v>
      </c>
      <c r="C60" s="3" t="s">
        <v>2</v>
      </c>
      <c r="D60" s="6">
        <f>34.3+2*18.65</f>
        <v>71.599999999999994</v>
      </c>
      <c r="E60" s="8"/>
      <c r="F60" s="8">
        <f t="shared" si="0"/>
        <v>0</v>
      </c>
    </row>
    <row r="61" spans="1:6" ht="25.5" x14ac:dyDescent="0.2">
      <c r="A61" s="3">
        <v>6</v>
      </c>
      <c r="B61" s="7" t="s">
        <v>15</v>
      </c>
      <c r="C61" s="4" t="s">
        <v>63</v>
      </c>
      <c r="D61" s="6">
        <v>15</v>
      </c>
      <c r="E61" s="8"/>
      <c r="F61" s="8">
        <f t="shared" si="0"/>
        <v>0</v>
      </c>
    </row>
    <row r="62" spans="1:6" ht="25.5" x14ac:dyDescent="0.2">
      <c r="A62" s="46">
        <v>7</v>
      </c>
      <c r="B62" s="9" t="s">
        <v>174</v>
      </c>
      <c r="C62" s="4" t="s">
        <v>62</v>
      </c>
      <c r="D62" s="6">
        <f>D56</f>
        <v>639.69499999999994</v>
      </c>
      <c r="E62" s="8"/>
      <c r="F62" s="8">
        <f t="shared" si="0"/>
        <v>0</v>
      </c>
    </row>
    <row r="63" spans="1:6" ht="25.5" x14ac:dyDescent="0.2">
      <c r="A63" s="3">
        <v>8</v>
      </c>
      <c r="B63" s="7" t="s">
        <v>19</v>
      </c>
      <c r="C63" s="4" t="s">
        <v>62</v>
      </c>
      <c r="D63" s="6">
        <f>D56</f>
        <v>639.69499999999994</v>
      </c>
      <c r="E63" s="8"/>
      <c r="F63" s="8">
        <f t="shared" si="0"/>
        <v>0</v>
      </c>
    </row>
    <row r="64" spans="1:6" ht="25.5" x14ac:dyDescent="0.2">
      <c r="A64" s="46">
        <v>9</v>
      </c>
      <c r="B64" s="7" t="s">
        <v>180</v>
      </c>
      <c r="C64" s="4" t="s">
        <v>63</v>
      </c>
      <c r="D64" s="6">
        <f>19.45*35.3</f>
        <v>686.58499999999992</v>
      </c>
      <c r="E64" s="8"/>
      <c r="F64" s="8">
        <f t="shared" si="0"/>
        <v>0</v>
      </c>
    </row>
    <row r="65" spans="1:6" ht="38.25" x14ac:dyDescent="0.2">
      <c r="A65" s="3">
        <v>10</v>
      </c>
      <c r="B65" s="7" t="s">
        <v>47</v>
      </c>
      <c r="C65" s="4" t="s">
        <v>63</v>
      </c>
      <c r="D65" s="6">
        <f>(2*18.65+34.3)*0.4</f>
        <v>28.64</v>
      </c>
      <c r="E65" s="8"/>
      <c r="F65" s="8">
        <f t="shared" si="0"/>
        <v>0</v>
      </c>
    </row>
    <row r="66" spans="1:6" ht="15" x14ac:dyDescent="0.2">
      <c r="A66" s="46">
        <v>11</v>
      </c>
      <c r="B66" s="9" t="s">
        <v>110</v>
      </c>
      <c r="C66" s="4" t="s">
        <v>63</v>
      </c>
      <c r="D66" s="6">
        <f>18.65*0.4</f>
        <v>7.46</v>
      </c>
      <c r="E66" s="8"/>
      <c r="F66" s="8">
        <f t="shared" si="0"/>
        <v>0</v>
      </c>
    </row>
    <row r="67" spans="1:6" ht="25.5" x14ac:dyDescent="0.2">
      <c r="A67" s="3">
        <v>12</v>
      </c>
      <c r="B67" s="7" t="s">
        <v>147</v>
      </c>
      <c r="C67" s="4" t="s">
        <v>63</v>
      </c>
      <c r="D67" s="6">
        <f>18.5*0.1</f>
        <v>1.85</v>
      </c>
      <c r="E67" s="8"/>
      <c r="F67" s="8">
        <f t="shared" si="0"/>
        <v>0</v>
      </c>
    </row>
    <row r="68" spans="1:6" ht="15" x14ac:dyDescent="0.2">
      <c r="A68" s="46">
        <v>13</v>
      </c>
      <c r="B68" s="7" t="s">
        <v>148</v>
      </c>
      <c r="C68" s="4" t="s">
        <v>63</v>
      </c>
      <c r="D68" s="6">
        <f>18.5*0.1</f>
        <v>1.85</v>
      </c>
      <c r="E68" s="8"/>
      <c r="F68" s="8">
        <f t="shared" si="0"/>
        <v>0</v>
      </c>
    </row>
    <row r="69" spans="1:6" ht="38.25" x14ac:dyDescent="0.2">
      <c r="A69" s="3">
        <v>14</v>
      </c>
      <c r="B69" s="9" t="s">
        <v>99</v>
      </c>
      <c r="C69" s="3" t="s">
        <v>59</v>
      </c>
      <c r="D69" s="6">
        <v>1</v>
      </c>
      <c r="E69" s="14"/>
      <c r="F69" s="8">
        <f t="shared" si="0"/>
        <v>0</v>
      </c>
    </row>
    <row r="70" spans="1:6" ht="25.5" x14ac:dyDescent="0.2">
      <c r="A70" s="46">
        <v>15</v>
      </c>
      <c r="B70" s="7" t="s">
        <v>67</v>
      </c>
      <c r="C70" s="4" t="s">
        <v>72</v>
      </c>
      <c r="D70" s="6">
        <v>20</v>
      </c>
      <c r="E70" s="8"/>
      <c r="F70" s="8">
        <f t="shared" si="0"/>
        <v>0</v>
      </c>
    </row>
    <row r="71" spans="1:6" ht="25.5" x14ac:dyDescent="0.2">
      <c r="A71" s="3">
        <v>16</v>
      </c>
      <c r="B71" s="9" t="s">
        <v>73</v>
      </c>
      <c r="C71" s="4" t="s">
        <v>72</v>
      </c>
      <c r="D71" s="6">
        <v>40</v>
      </c>
      <c r="E71" s="8"/>
      <c r="F71" s="8">
        <f t="shared" si="0"/>
        <v>0</v>
      </c>
    </row>
    <row r="72" spans="1:6" ht="25.5" x14ac:dyDescent="0.2">
      <c r="A72" s="46">
        <v>17</v>
      </c>
      <c r="B72" s="7" t="s">
        <v>68</v>
      </c>
      <c r="C72" s="3" t="s">
        <v>59</v>
      </c>
      <c r="D72" s="13">
        <v>2</v>
      </c>
      <c r="E72" s="8"/>
      <c r="F72" s="8">
        <f t="shared" si="0"/>
        <v>0</v>
      </c>
    </row>
    <row r="73" spans="1:6" ht="25.5" x14ac:dyDescent="0.2">
      <c r="A73" s="3">
        <v>18</v>
      </c>
      <c r="B73" s="7" t="s">
        <v>69</v>
      </c>
      <c r="C73" s="4" t="s">
        <v>2</v>
      </c>
      <c r="D73" s="6">
        <v>24</v>
      </c>
      <c r="E73" s="8"/>
      <c r="F73" s="8">
        <f t="shared" si="0"/>
        <v>0</v>
      </c>
    </row>
    <row r="74" spans="1:6" ht="25.5" x14ac:dyDescent="0.2">
      <c r="A74" s="46">
        <v>19</v>
      </c>
      <c r="B74" s="7" t="s">
        <v>70</v>
      </c>
      <c r="C74" s="3" t="s">
        <v>59</v>
      </c>
      <c r="D74" s="13">
        <v>2</v>
      </c>
      <c r="E74" s="8"/>
      <c r="F74" s="8">
        <f t="shared" si="0"/>
        <v>0</v>
      </c>
    </row>
    <row r="75" spans="1:6" ht="25.5" x14ac:dyDescent="0.2">
      <c r="A75" s="3">
        <v>20</v>
      </c>
      <c r="B75" s="9" t="s">
        <v>75</v>
      </c>
      <c r="C75" s="4" t="s">
        <v>74</v>
      </c>
      <c r="D75" s="13">
        <v>2</v>
      </c>
      <c r="E75" s="8"/>
      <c r="F75" s="8">
        <f t="shared" si="0"/>
        <v>0</v>
      </c>
    </row>
    <row r="76" spans="1:6" ht="25.5" x14ac:dyDescent="0.2">
      <c r="A76" s="46">
        <v>21</v>
      </c>
      <c r="B76" s="42" t="s">
        <v>76</v>
      </c>
      <c r="C76" s="37" t="s">
        <v>59</v>
      </c>
      <c r="D76" s="44">
        <v>1</v>
      </c>
      <c r="E76" s="45"/>
      <c r="F76" s="38">
        <f t="shared" si="0"/>
        <v>0</v>
      </c>
    </row>
    <row r="77" spans="1:6" x14ac:dyDescent="0.2">
      <c r="A77" s="3">
        <v>22</v>
      </c>
      <c r="B77" s="7" t="s">
        <v>64</v>
      </c>
      <c r="C77" s="3" t="s">
        <v>18</v>
      </c>
      <c r="D77" s="6">
        <f>D56*0.025</f>
        <v>15.992374999999999</v>
      </c>
      <c r="E77" s="8"/>
      <c r="F77" s="8">
        <f t="shared" si="0"/>
        <v>0</v>
      </c>
    </row>
    <row r="78" spans="1:6" x14ac:dyDescent="0.2">
      <c r="A78" s="39"/>
      <c r="B78" s="40"/>
      <c r="C78" s="39"/>
      <c r="D78" s="41"/>
      <c r="E78" s="31" t="s">
        <v>120</v>
      </c>
      <c r="F78" s="31">
        <f>SUM(F56:F77)</f>
        <v>0</v>
      </c>
    </row>
    <row r="79" spans="1:6" x14ac:dyDescent="0.2">
      <c r="A79" s="39"/>
      <c r="B79" s="40"/>
      <c r="C79" s="39"/>
      <c r="D79" s="41"/>
      <c r="E79" s="29" t="s">
        <v>142</v>
      </c>
      <c r="F79" s="32">
        <f>0.1*F78</f>
        <v>0</v>
      </c>
    </row>
    <row r="80" spans="1:6" x14ac:dyDescent="0.2">
      <c r="A80" s="39"/>
      <c r="B80" s="40"/>
      <c r="C80" s="39"/>
      <c r="D80" s="41"/>
      <c r="E80" s="29" t="s">
        <v>143</v>
      </c>
      <c r="F80" s="31">
        <f>SUM(F78:F79)</f>
        <v>0</v>
      </c>
    </row>
    <row r="81" spans="1:6" x14ac:dyDescent="0.2">
      <c r="A81" s="39"/>
      <c r="B81" s="40"/>
      <c r="C81" s="39"/>
      <c r="D81" s="41"/>
      <c r="E81" s="29" t="s">
        <v>121</v>
      </c>
      <c r="F81" s="32">
        <f>0.2*F80</f>
        <v>0</v>
      </c>
    </row>
    <row r="82" spans="1:6" x14ac:dyDescent="0.2">
      <c r="A82" s="39"/>
      <c r="B82" s="40"/>
      <c r="C82" s="39"/>
      <c r="D82" s="41"/>
      <c r="E82" s="29" t="s">
        <v>122</v>
      </c>
      <c r="F82" s="31">
        <f>SUM(F80:F81)</f>
        <v>0</v>
      </c>
    </row>
    <row r="83" spans="1:6" ht="12.75" customHeight="1" x14ac:dyDescent="0.2">
      <c r="A83" s="85" t="s">
        <v>171</v>
      </c>
      <c r="B83" s="85"/>
      <c r="C83" s="85"/>
      <c r="D83" s="85"/>
      <c r="E83" s="76"/>
      <c r="F83" s="12">
        <f>SUM(F84:F130)</f>
        <v>0</v>
      </c>
    </row>
    <row r="84" spans="1:6" x14ac:dyDescent="0.2">
      <c r="A84" s="3">
        <v>1</v>
      </c>
      <c r="B84" s="7" t="s">
        <v>26</v>
      </c>
      <c r="C84" s="4" t="s">
        <v>2</v>
      </c>
      <c r="D84" s="6">
        <v>486</v>
      </c>
      <c r="E84" s="77"/>
      <c r="F84" s="50">
        <f t="shared" ref="F84:F85" si="1">ROUND(D84*E84,2)</f>
        <v>0</v>
      </c>
    </row>
    <row r="85" spans="1:6" ht="15" x14ac:dyDescent="0.2">
      <c r="A85" s="3">
        <v>2</v>
      </c>
      <c r="B85" s="7" t="s">
        <v>9</v>
      </c>
      <c r="C85" s="4" t="s">
        <v>63</v>
      </c>
      <c r="D85" s="6">
        <f>SUM(D86:D89)</f>
        <v>1052.3699999999999</v>
      </c>
      <c r="E85" s="73"/>
      <c r="F85" s="8">
        <f t="shared" si="1"/>
        <v>0</v>
      </c>
    </row>
    <row r="86" spans="1:6" x14ac:dyDescent="0.2">
      <c r="A86" s="3"/>
      <c r="B86" s="9" t="s">
        <v>82</v>
      </c>
      <c r="C86" s="4"/>
      <c r="D86" s="6">
        <f>42*12.2</f>
        <v>512.4</v>
      </c>
      <c r="E86" s="73"/>
      <c r="F86" s="8"/>
    </row>
    <row r="87" spans="1:6" x14ac:dyDescent="0.2">
      <c r="A87" s="3"/>
      <c r="B87" s="9" t="s">
        <v>83</v>
      </c>
      <c r="C87" s="4"/>
      <c r="D87" s="6">
        <f>18*12</f>
        <v>216</v>
      </c>
      <c r="E87" s="73"/>
      <c r="F87" s="8"/>
    </row>
    <row r="88" spans="1:6" x14ac:dyDescent="0.2">
      <c r="A88" s="3"/>
      <c r="B88" s="9" t="s">
        <v>84</v>
      </c>
      <c r="C88" s="4"/>
      <c r="D88" s="6">
        <f>18*12</f>
        <v>216</v>
      </c>
      <c r="E88" s="73"/>
      <c r="F88" s="8"/>
    </row>
    <row r="89" spans="1:6" x14ac:dyDescent="0.2">
      <c r="A89" s="3"/>
      <c r="B89" s="9" t="s">
        <v>85</v>
      </c>
      <c r="C89" s="4"/>
      <c r="D89" s="6">
        <f>17.7*6.1</f>
        <v>107.96999999999998</v>
      </c>
      <c r="E89" s="73"/>
      <c r="F89" s="8"/>
    </row>
    <row r="90" spans="1:6" x14ac:dyDescent="0.2">
      <c r="A90" s="3">
        <v>3</v>
      </c>
      <c r="B90" s="7" t="s">
        <v>93</v>
      </c>
      <c r="C90" s="3" t="s">
        <v>2</v>
      </c>
      <c r="D90" s="6">
        <f>SUM(D91:D93)</f>
        <v>126</v>
      </c>
      <c r="E90" s="73"/>
      <c r="F90" s="8">
        <f>ROUND(D90*E90,2)</f>
        <v>0</v>
      </c>
    </row>
    <row r="91" spans="1:6" x14ac:dyDescent="0.2">
      <c r="A91" s="3"/>
      <c r="B91" s="9" t="s">
        <v>82</v>
      </c>
      <c r="C91" s="4"/>
      <c r="D91" s="6">
        <f>42+12+12</f>
        <v>66</v>
      </c>
      <c r="E91" s="73"/>
      <c r="F91" s="8"/>
    </row>
    <row r="92" spans="1:6" x14ac:dyDescent="0.2">
      <c r="A92" s="3"/>
      <c r="B92" s="9" t="s">
        <v>83</v>
      </c>
      <c r="C92" s="4"/>
      <c r="D92" s="6">
        <f t="shared" ref="D92:D93" si="2">18+12</f>
        <v>30</v>
      </c>
      <c r="E92" s="73"/>
      <c r="F92" s="8"/>
    </row>
    <row r="93" spans="1:6" x14ac:dyDescent="0.2">
      <c r="A93" s="3"/>
      <c r="B93" s="9" t="s">
        <v>84</v>
      </c>
      <c r="C93" s="4"/>
      <c r="D93" s="6">
        <f t="shared" si="2"/>
        <v>30</v>
      </c>
      <c r="E93" s="73"/>
      <c r="F93" s="8"/>
    </row>
    <row r="94" spans="1:6" ht="15" x14ac:dyDescent="0.2">
      <c r="A94" s="3">
        <v>4</v>
      </c>
      <c r="B94" s="7" t="s">
        <v>92</v>
      </c>
      <c r="C94" s="4" t="s">
        <v>63</v>
      </c>
      <c r="D94" s="6">
        <f>SUM(D95:D98)</f>
        <v>103.55499999999999</v>
      </c>
      <c r="E94" s="73"/>
      <c r="F94" s="8">
        <f>ROUND(D94*E94,2)</f>
        <v>0</v>
      </c>
    </row>
    <row r="95" spans="1:6" x14ac:dyDescent="0.2">
      <c r="A95" s="3"/>
      <c r="B95" s="9" t="s">
        <v>82</v>
      </c>
      <c r="C95" s="4"/>
      <c r="D95" s="6">
        <f>43.6*0.85</f>
        <v>37.06</v>
      </c>
      <c r="E95" s="73"/>
      <c r="F95" s="8"/>
    </row>
    <row r="96" spans="1:6" x14ac:dyDescent="0.2">
      <c r="A96" s="3"/>
      <c r="B96" s="9" t="s">
        <v>83</v>
      </c>
      <c r="C96" s="4"/>
      <c r="D96" s="6">
        <f>18*0.85+12*0.5</f>
        <v>21.299999999999997</v>
      </c>
      <c r="E96" s="73"/>
      <c r="F96" s="8"/>
    </row>
    <row r="97" spans="1:6" x14ac:dyDescent="0.2">
      <c r="A97" s="3"/>
      <c r="B97" s="9" t="s">
        <v>84</v>
      </c>
      <c r="C97" s="4"/>
      <c r="D97" s="6">
        <f>18*0.85+12*0.5</f>
        <v>21.299999999999997</v>
      </c>
      <c r="E97" s="73"/>
      <c r="F97" s="8"/>
    </row>
    <row r="98" spans="1:6" x14ac:dyDescent="0.2">
      <c r="A98" s="3"/>
      <c r="B98" s="9" t="s">
        <v>85</v>
      </c>
      <c r="C98" s="4"/>
      <c r="D98" s="6">
        <f>17.7*(0.85+0.5)</f>
        <v>23.895</v>
      </c>
      <c r="E98" s="73"/>
      <c r="F98" s="8"/>
    </row>
    <row r="99" spans="1:6" x14ac:dyDescent="0.2">
      <c r="A99" s="3">
        <v>5</v>
      </c>
      <c r="B99" s="9" t="s">
        <v>89</v>
      </c>
      <c r="C99" s="3" t="s">
        <v>2</v>
      </c>
      <c r="D99" s="6">
        <f>SUM(D100:D103)</f>
        <v>95.7</v>
      </c>
      <c r="E99" s="73"/>
      <c r="F99" s="8">
        <f t="shared" ref="F99:F130" si="3">ROUND(D99*E99,2)</f>
        <v>0</v>
      </c>
    </row>
    <row r="100" spans="1:6" x14ac:dyDescent="0.2">
      <c r="A100" s="3"/>
      <c r="B100" s="9" t="s">
        <v>82</v>
      </c>
      <c r="C100" s="4"/>
      <c r="D100" s="6">
        <v>42</v>
      </c>
      <c r="E100" s="73"/>
      <c r="F100" s="8"/>
    </row>
    <row r="101" spans="1:6" x14ac:dyDescent="0.2">
      <c r="A101" s="3"/>
      <c r="B101" s="9" t="s">
        <v>83</v>
      </c>
      <c r="C101" s="4"/>
      <c r="D101" s="6">
        <v>18</v>
      </c>
      <c r="E101" s="73"/>
      <c r="F101" s="8"/>
    </row>
    <row r="102" spans="1:6" x14ac:dyDescent="0.2">
      <c r="A102" s="3"/>
      <c r="B102" s="9" t="s">
        <v>84</v>
      </c>
      <c r="C102" s="4"/>
      <c r="D102" s="6">
        <v>18</v>
      </c>
      <c r="E102" s="73"/>
      <c r="F102" s="8"/>
    </row>
    <row r="103" spans="1:6" x14ac:dyDescent="0.2">
      <c r="A103" s="3"/>
      <c r="B103" s="9" t="s">
        <v>85</v>
      </c>
      <c r="C103" s="4"/>
      <c r="D103" s="6">
        <v>17.7</v>
      </c>
      <c r="E103" s="73"/>
      <c r="F103" s="8"/>
    </row>
    <row r="104" spans="1:6" x14ac:dyDescent="0.2">
      <c r="A104" s="3">
        <v>6</v>
      </c>
      <c r="B104" s="9" t="s">
        <v>7</v>
      </c>
      <c r="C104" s="3" t="s">
        <v>2</v>
      </c>
      <c r="D104" s="6">
        <f>SUM(D105:D108)</f>
        <v>40</v>
      </c>
      <c r="E104" s="73"/>
      <c r="F104" s="8">
        <f t="shared" ref="F104" si="4">ROUND(D104*E104,2)</f>
        <v>0</v>
      </c>
    </row>
    <row r="105" spans="1:6" x14ac:dyDescent="0.2">
      <c r="A105" s="3"/>
      <c r="B105" s="9" t="s">
        <v>82</v>
      </c>
      <c r="C105" s="4"/>
      <c r="D105" s="6">
        <v>10</v>
      </c>
      <c r="E105" s="73"/>
      <c r="F105" s="8"/>
    </row>
    <row r="106" spans="1:6" x14ac:dyDescent="0.2">
      <c r="A106" s="3"/>
      <c r="B106" s="9" t="s">
        <v>83</v>
      </c>
      <c r="C106" s="4"/>
      <c r="D106" s="6">
        <v>9</v>
      </c>
      <c r="E106" s="73"/>
      <c r="F106" s="8"/>
    </row>
    <row r="107" spans="1:6" x14ac:dyDescent="0.2">
      <c r="A107" s="3"/>
      <c r="B107" s="9" t="s">
        <v>84</v>
      </c>
      <c r="C107" s="4"/>
      <c r="D107" s="6">
        <v>9</v>
      </c>
      <c r="E107" s="73"/>
      <c r="F107" s="8"/>
    </row>
    <row r="108" spans="1:6" x14ac:dyDescent="0.2">
      <c r="A108" s="3"/>
      <c r="B108" s="9" t="s">
        <v>85</v>
      </c>
      <c r="C108" s="4"/>
      <c r="D108" s="6">
        <v>12</v>
      </c>
      <c r="E108" s="73"/>
      <c r="F108" s="8"/>
    </row>
    <row r="109" spans="1:6" ht="25.5" x14ac:dyDescent="0.2">
      <c r="A109" s="3">
        <v>7</v>
      </c>
      <c r="B109" s="9" t="s">
        <v>174</v>
      </c>
      <c r="C109" s="4" t="s">
        <v>63</v>
      </c>
      <c r="D109" s="6">
        <f>D85</f>
        <v>1052.3699999999999</v>
      </c>
      <c r="E109" s="73"/>
      <c r="F109" s="8">
        <f t="shared" si="3"/>
        <v>0</v>
      </c>
    </row>
    <row r="110" spans="1:6" ht="25.5" x14ac:dyDescent="0.2">
      <c r="A110" s="3">
        <v>8</v>
      </c>
      <c r="B110" s="7" t="s">
        <v>19</v>
      </c>
      <c r="C110" s="4" t="s">
        <v>63</v>
      </c>
      <c r="D110" s="6">
        <f>D85</f>
        <v>1052.3699999999999</v>
      </c>
      <c r="E110" s="73"/>
      <c r="F110" s="8">
        <f t="shared" si="3"/>
        <v>0</v>
      </c>
    </row>
    <row r="111" spans="1:6" ht="25.5" x14ac:dyDescent="0.2">
      <c r="A111" s="3">
        <v>9</v>
      </c>
      <c r="B111" s="9" t="s">
        <v>180</v>
      </c>
      <c r="C111" s="4" t="s">
        <v>63</v>
      </c>
      <c r="D111" s="6">
        <f>SUM(D112:D116)</f>
        <v>1188.7100000000003</v>
      </c>
      <c r="E111" s="73"/>
      <c r="F111" s="8">
        <f t="shared" si="3"/>
        <v>0</v>
      </c>
    </row>
    <row r="112" spans="1:6" x14ac:dyDescent="0.2">
      <c r="A112" s="3"/>
      <c r="B112" s="9" t="s">
        <v>82</v>
      </c>
      <c r="C112" s="4"/>
      <c r="D112" s="6">
        <f>43.6*13</f>
        <v>566.80000000000007</v>
      </c>
      <c r="E112" s="73"/>
      <c r="F112" s="8"/>
    </row>
    <row r="113" spans="1:6" x14ac:dyDescent="0.2">
      <c r="A113" s="3"/>
      <c r="B113" s="9" t="s">
        <v>83</v>
      </c>
      <c r="C113" s="4"/>
      <c r="D113" s="6">
        <f>19.6*12.8</f>
        <v>250.88000000000002</v>
      </c>
      <c r="E113" s="73"/>
      <c r="F113" s="8"/>
    </row>
    <row r="114" spans="1:6" x14ac:dyDescent="0.2">
      <c r="A114" s="3"/>
      <c r="B114" s="9" t="s">
        <v>84</v>
      </c>
      <c r="C114" s="4"/>
      <c r="D114" s="6">
        <f>19.6*12.8</f>
        <v>250.88000000000002</v>
      </c>
      <c r="E114" s="73"/>
      <c r="F114" s="8"/>
    </row>
    <row r="115" spans="1:6" x14ac:dyDescent="0.2">
      <c r="A115" s="3"/>
      <c r="B115" s="9" t="s">
        <v>85</v>
      </c>
      <c r="C115" s="4"/>
      <c r="D115" s="6">
        <f>17.7*6.3</f>
        <v>111.50999999999999</v>
      </c>
      <c r="E115" s="73"/>
      <c r="F115" s="8"/>
    </row>
    <row r="116" spans="1:6" x14ac:dyDescent="0.2">
      <c r="A116" s="3"/>
      <c r="B116" s="9" t="s">
        <v>94</v>
      </c>
      <c r="C116" s="4"/>
      <c r="D116" s="6">
        <f>4.8*1.8</f>
        <v>8.64</v>
      </c>
      <c r="E116" s="73"/>
      <c r="F116" s="8"/>
    </row>
    <row r="117" spans="1:6" ht="36" customHeight="1" x14ac:dyDescent="0.2">
      <c r="A117" s="3">
        <v>10</v>
      </c>
      <c r="B117" s="7" t="s">
        <v>47</v>
      </c>
      <c r="C117" s="4" t="s">
        <v>63</v>
      </c>
      <c r="D117" s="6">
        <f>D90*0.7</f>
        <v>88.199999999999989</v>
      </c>
      <c r="E117" s="73"/>
      <c r="F117" s="8">
        <f t="shared" si="3"/>
        <v>0</v>
      </c>
    </row>
    <row r="118" spans="1:6" ht="36" customHeight="1" x14ac:dyDescent="0.2">
      <c r="A118" s="3">
        <v>11</v>
      </c>
      <c r="B118" s="9" t="s">
        <v>175</v>
      </c>
      <c r="C118" s="4" t="s">
        <v>63</v>
      </c>
      <c r="D118" s="6">
        <f>D94</f>
        <v>103.55499999999999</v>
      </c>
      <c r="E118" s="73"/>
      <c r="F118" s="8">
        <f t="shared" si="3"/>
        <v>0</v>
      </c>
    </row>
    <row r="119" spans="1:6" ht="25.5" x14ac:dyDescent="0.2">
      <c r="A119" s="3">
        <v>12</v>
      </c>
      <c r="B119" s="7" t="s">
        <v>11</v>
      </c>
      <c r="C119" s="4" t="s">
        <v>72</v>
      </c>
      <c r="D119" s="6">
        <f>D99</f>
        <v>95.7</v>
      </c>
      <c r="E119" s="73"/>
      <c r="F119" s="8">
        <f t="shared" si="3"/>
        <v>0</v>
      </c>
    </row>
    <row r="120" spans="1:6" ht="25.5" x14ac:dyDescent="0.2">
      <c r="A120" s="3">
        <v>13</v>
      </c>
      <c r="B120" s="7" t="s">
        <v>12</v>
      </c>
      <c r="C120" s="4" t="s">
        <v>72</v>
      </c>
      <c r="D120" s="21">
        <f>7*2.5+2*4+2*4+2*2+4*3</f>
        <v>49.5</v>
      </c>
      <c r="E120" s="73"/>
      <c r="F120" s="8">
        <f t="shared" si="3"/>
        <v>0</v>
      </c>
    </row>
    <row r="121" spans="1:6" ht="15" x14ac:dyDescent="0.2">
      <c r="A121" s="3">
        <v>14</v>
      </c>
      <c r="B121" s="9" t="s">
        <v>176</v>
      </c>
      <c r="C121" s="4" t="s">
        <v>63</v>
      </c>
      <c r="D121" s="13">
        <v>20</v>
      </c>
      <c r="E121" s="73"/>
      <c r="F121" s="8">
        <f t="shared" si="3"/>
        <v>0</v>
      </c>
    </row>
    <row r="122" spans="1:6" ht="51" x14ac:dyDescent="0.2">
      <c r="A122" s="3">
        <v>15</v>
      </c>
      <c r="B122" s="9" t="s">
        <v>95</v>
      </c>
      <c r="C122" s="3" t="s">
        <v>59</v>
      </c>
      <c r="D122" s="13">
        <v>1</v>
      </c>
      <c r="E122" s="78"/>
      <c r="F122" s="8">
        <f t="shared" si="3"/>
        <v>0</v>
      </c>
    </row>
    <row r="123" spans="1:6" ht="25.5" x14ac:dyDescent="0.2">
      <c r="A123" s="3">
        <v>16</v>
      </c>
      <c r="B123" s="7" t="s">
        <v>67</v>
      </c>
      <c r="C123" s="4" t="s">
        <v>72</v>
      </c>
      <c r="D123" s="6">
        <v>22</v>
      </c>
      <c r="E123" s="73"/>
      <c r="F123" s="8">
        <f t="shared" si="3"/>
        <v>0</v>
      </c>
    </row>
    <row r="124" spans="1:6" ht="25.5" x14ac:dyDescent="0.2">
      <c r="A124" s="3">
        <v>17</v>
      </c>
      <c r="B124" s="9" t="s">
        <v>73</v>
      </c>
      <c r="C124" s="4" t="s">
        <v>72</v>
      </c>
      <c r="D124" s="6">
        <v>15</v>
      </c>
      <c r="E124" s="73"/>
      <c r="F124" s="8">
        <f t="shared" si="3"/>
        <v>0</v>
      </c>
    </row>
    <row r="125" spans="1:6" ht="25.5" x14ac:dyDescent="0.2">
      <c r="A125" s="3">
        <v>18</v>
      </c>
      <c r="B125" s="7" t="s">
        <v>68</v>
      </c>
      <c r="C125" s="3" t="s">
        <v>59</v>
      </c>
      <c r="D125" s="13">
        <v>2</v>
      </c>
      <c r="E125" s="73"/>
      <c r="F125" s="8">
        <f t="shared" si="3"/>
        <v>0</v>
      </c>
    </row>
    <row r="126" spans="1:6" ht="25.5" x14ac:dyDescent="0.2">
      <c r="A126" s="3">
        <v>19</v>
      </c>
      <c r="B126" s="7" t="s">
        <v>69</v>
      </c>
      <c r="C126" s="4" t="s">
        <v>2</v>
      </c>
      <c r="D126" s="6">
        <v>24</v>
      </c>
      <c r="E126" s="8"/>
      <c r="F126" s="8">
        <f t="shared" si="3"/>
        <v>0</v>
      </c>
    </row>
    <row r="127" spans="1:6" ht="25.5" x14ac:dyDescent="0.2">
      <c r="A127" s="3">
        <v>20</v>
      </c>
      <c r="B127" s="7" t="s">
        <v>70</v>
      </c>
      <c r="C127" s="3" t="s">
        <v>59</v>
      </c>
      <c r="D127" s="13">
        <v>2</v>
      </c>
      <c r="E127" s="8"/>
      <c r="F127" s="8">
        <f t="shared" si="3"/>
        <v>0</v>
      </c>
    </row>
    <row r="128" spans="1:6" ht="25.5" x14ac:dyDescent="0.2">
      <c r="A128" s="3">
        <v>21</v>
      </c>
      <c r="B128" s="9" t="s">
        <v>75</v>
      </c>
      <c r="C128" s="4" t="s">
        <v>74</v>
      </c>
      <c r="D128" s="13">
        <v>2</v>
      </c>
      <c r="E128" s="8"/>
      <c r="F128" s="8">
        <f t="shared" si="3"/>
        <v>0</v>
      </c>
    </row>
    <row r="129" spans="1:7" ht="25.5" x14ac:dyDescent="0.2">
      <c r="A129" s="3">
        <v>22</v>
      </c>
      <c r="B129" s="9" t="s">
        <v>76</v>
      </c>
      <c r="C129" s="3" t="s">
        <v>59</v>
      </c>
      <c r="D129" s="13">
        <v>1</v>
      </c>
      <c r="E129" s="15"/>
      <c r="F129" s="8">
        <f t="shared" si="3"/>
        <v>0</v>
      </c>
    </row>
    <row r="130" spans="1:7" x14ac:dyDescent="0.2">
      <c r="A130" s="3">
        <v>23</v>
      </c>
      <c r="B130" s="9" t="s">
        <v>64</v>
      </c>
      <c r="C130" s="3" t="s">
        <v>18</v>
      </c>
      <c r="D130" s="6">
        <f>D85*0.025</f>
        <v>26.309249999999999</v>
      </c>
      <c r="E130" s="8"/>
      <c r="F130" s="8">
        <f t="shared" si="3"/>
        <v>0</v>
      </c>
    </row>
    <row r="131" spans="1:7" x14ac:dyDescent="0.2">
      <c r="E131" s="31" t="s">
        <v>120</v>
      </c>
      <c r="F131" s="31">
        <f>SUM(F84:F130)</f>
        <v>0</v>
      </c>
    </row>
    <row r="132" spans="1:7" x14ac:dyDescent="0.2">
      <c r="E132" s="29" t="s">
        <v>142</v>
      </c>
      <c r="F132" s="32">
        <f>0.1*F131</f>
        <v>0</v>
      </c>
    </row>
    <row r="133" spans="1:7" x14ac:dyDescent="0.2">
      <c r="E133" s="29" t="s">
        <v>143</v>
      </c>
      <c r="F133" s="31">
        <f>SUM(F131:F132)</f>
        <v>0</v>
      </c>
    </row>
    <row r="134" spans="1:7" x14ac:dyDescent="0.2">
      <c r="E134" s="29" t="s">
        <v>121</v>
      </c>
      <c r="F134" s="32">
        <f>0.2*F133</f>
        <v>0</v>
      </c>
    </row>
    <row r="135" spans="1:7" x14ac:dyDescent="0.2">
      <c r="E135" s="29" t="s">
        <v>122</v>
      </c>
      <c r="F135" s="31">
        <f>SUM(F133:F134)</f>
        <v>0</v>
      </c>
    </row>
    <row r="137" spans="1:7" ht="15" x14ac:dyDescent="0.2">
      <c r="C137" s="81" t="s">
        <v>149</v>
      </c>
      <c r="D137" s="82"/>
      <c r="E137" s="82"/>
      <c r="F137" s="82"/>
    </row>
    <row r="138" spans="1:7" x14ac:dyDescent="0.2">
      <c r="E138" s="35" t="s">
        <v>145</v>
      </c>
      <c r="F138" s="31">
        <f>F26+F50+F78+F131</f>
        <v>0</v>
      </c>
    </row>
    <row r="139" spans="1:7" x14ac:dyDescent="0.2">
      <c r="E139" s="29" t="s">
        <v>142</v>
      </c>
      <c r="F139" s="31">
        <f>F27+F51+F79+F132</f>
        <v>0</v>
      </c>
    </row>
    <row r="140" spans="1:7" x14ac:dyDescent="0.2">
      <c r="E140" s="35" t="s">
        <v>146</v>
      </c>
      <c r="F140" s="31">
        <f>F28+F52+F80+F133</f>
        <v>0</v>
      </c>
    </row>
    <row r="141" spans="1:7" x14ac:dyDescent="0.2">
      <c r="E141" s="29" t="s">
        <v>121</v>
      </c>
      <c r="F141" s="32">
        <f>0.2*F140</f>
        <v>0</v>
      </c>
    </row>
    <row r="142" spans="1:7" x14ac:dyDescent="0.2">
      <c r="E142" s="29" t="s">
        <v>122</v>
      </c>
      <c r="F142" s="31">
        <f>SUM(F140:F141)</f>
        <v>0</v>
      </c>
      <c r="G142" s="66"/>
    </row>
  </sheetData>
  <autoFilter ref="A4:F77"/>
  <mergeCells count="6">
    <mergeCell ref="A2:F2"/>
    <mergeCell ref="C137:F137"/>
    <mergeCell ref="A5:D5"/>
    <mergeCell ref="A31:D31"/>
    <mergeCell ref="A55:D55"/>
    <mergeCell ref="A83:D8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pane ySplit="4" topLeftCell="A5" activePane="bottomLeft" state="frozen"/>
      <selection pane="bottomLeft" activeCell="B24" sqref="B24"/>
    </sheetView>
  </sheetViews>
  <sheetFormatPr defaultRowHeight="12.75" x14ac:dyDescent="0.2"/>
  <cols>
    <col min="1" max="1" width="3.85546875" style="16" customWidth="1"/>
    <col min="2" max="2" width="45.7109375" style="17" customWidth="1"/>
    <col min="3" max="3" width="6.5703125" style="18" customWidth="1"/>
    <col min="4" max="5" width="9.7109375" style="19" customWidth="1"/>
    <col min="6" max="6" width="14.7109375" style="19" customWidth="1"/>
    <col min="7" max="16384" width="9.140625" style="5"/>
  </cols>
  <sheetData>
    <row r="1" spans="1:6" ht="12" customHeight="1" x14ac:dyDescent="0.2"/>
    <row r="2" spans="1:6" ht="15" customHeight="1" x14ac:dyDescent="0.2">
      <c r="A2" s="80" t="s">
        <v>56</v>
      </c>
      <c r="B2" s="80"/>
      <c r="C2" s="80"/>
      <c r="D2" s="80"/>
      <c r="E2" s="80"/>
      <c r="F2" s="80"/>
    </row>
    <row r="3" spans="1:6" ht="12" customHeight="1" x14ac:dyDescent="0.2"/>
    <row r="4" spans="1:6" s="26" customFormat="1" ht="24" customHeight="1" x14ac:dyDescent="0.2">
      <c r="A4" s="10" t="s">
        <v>0</v>
      </c>
      <c r="B4" s="10" t="s">
        <v>3</v>
      </c>
      <c r="C4" s="34" t="s">
        <v>139</v>
      </c>
      <c r="D4" s="52" t="s">
        <v>140</v>
      </c>
      <c r="E4" s="52" t="s">
        <v>55</v>
      </c>
      <c r="F4" s="52" t="s">
        <v>57</v>
      </c>
    </row>
    <row r="5" spans="1:6" ht="14.25" customHeight="1" x14ac:dyDescent="0.2">
      <c r="A5" s="84" t="s">
        <v>81</v>
      </c>
      <c r="B5" s="84"/>
      <c r="C5" s="84"/>
      <c r="D5" s="84"/>
      <c r="E5" s="72"/>
      <c r="F5" s="12">
        <f>SUM(F6:F42)</f>
        <v>0</v>
      </c>
    </row>
    <row r="6" spans="1:6" ht="12" customHeight="1" x14ac:dyDescent="0.2">
      <c r="A6" s="3">
        <v>1</v>
      </c>
      <c r="B6" s="7" t="s">
        <v>9</v>
      </c>
      <c r="C6" s="4" t="s">
        <v>63</v>
      </c>
      <c r="D6" s="6">
        <f>SUM(D7:D13)</f>
        <v>3695.0599999999995</v>
      </c>
      <c r="E6" s="8"/>
      <c r="F6" s="8">
        <f t="shared" ref="F6" si="0">ROUND(D6*E6,2)</f>
        <v>0</v>
      </c>
    </row>
    <row r="7" spans="1:6" ht="12" customHeight="1" x14ac:dyDescent="0.2">
      <c r="A7" s="3"/>
      <c r="B7" s="9" t="s">
        <v>82</v>
      </c>
      <c r="C7" s="4"/>
      <c r="D7" s="6">
        <f>26.6*15.8</f>
        <v>420.28000000000003</v>
      </c>
      <c r="E7" s="8"/>
      <c r="F7" s="8"/>
    </row>
    <row r="8" spans="1:6" ht="12" customHeight="1" x14ac:dyDescent="0.2">
      <c r="A8" s="3"/>
      <c r="B8" s="9" t="s">
        <v>83</v>
      </c>
      <c r="C8" s="4"/>
      <c r="D8" s="6">
        <f>15.8*14.85</f>
        <v>234.63</v>
      </c>
      <c r="E8" s="8"/>
      <c r="F8" s="8"/>
    </row>
    <row r="9" spans="1:6" ht="12" customHeight="1" x14ac:dyDescent="0.2">
      <c r="A9" s="3"/>
      <c r="B9" s="9" t="s">
        <v>84</v>
      </c>
      <c r="C9" s="4"/>
      <c r="D9" s="6">
        <f>48*18</f>
        <v>864</v>
      </c>
      <c r="E9" s="8"/>
      <c r="F9" s="8"/>
    </row>
    <row r="10" spans="1:6" ht="12" customHeight="1" x14ac:dyDescent="0.2">
      <c r="A10" s="3"/>
      <c r="B10" s="9" t="s">
        <v>85</v>
      </c>
      <c r="C10" s="4"/>
      <c r="D10" s="6">
        <f>48*12+9*3</f>
        <v>603</v>
      </c>
      <c r="E10" s="8"/>
      <c r="F10" s="8"/>
    </row>
    <row r="11" spans="1:6" ht="12" customHeight="1" x14ac:dyDescent="0.2">
      <c r="A11" s="3"/>
      <c r="B11" s="9" t="s">
        <v>86</v>
      </c>
      <c r="C11" s="4"/>
      <c r="D11" s="6">
        <f>48*17.5</f>
        <v>840</v>
      </c>
      <c r="E11" s="8"/>
      <c r="F11" s="8"/>
    </row>
    <row r="12" spans="1:6" ht="12" customHeight="1" x14ac:dyDescent="0.2">
      <c r="A12" s="3"/>
      <c r="B12" s="9" t="s">
        <v>87</v>
      </c>
      <c r="C12" s="4"/>
      <c r="D12" s="6">
        <f>3*18+50.85*12</f>
        <v>664.2</v>
      </c>
      <c r="E12" s="8"/>
      <c r="F12" s="8"/>
    </row>
    <row r="13" spans="1:6" ht="12" customHeight="1" x14ac:dyDescent="0.2">
      <c r="A13" s="3"/>
      <c r="B13" s="9" t="s">
        <v>88</v>
      </c>
      <c r="C13" s="4"/>
      <c r="D13" s="6">
        <f>7*9.85</f>
        <v>68.95</v>
      </c>
      <c r="E13" s="8"/>
      <c r="F13" s="8"/>
    </row>
    <row r="14" spans="1:6" ht="25.5" x14ac:dyDescent="0.2">
      <c r="A14" s="3">
        <v>2</v>
      </c>
      <c r="B14" s="7" t="s">
        <v>8</v>
      </c>
      <c r="C14" s="3" t="s">
        <v>2</v>
      </c>
      <c r="D14" s="6">
        <f>SUM(D15:D20)</f>
        <v>678.8</v>
      </c>
      <c r="E14" s="8"/>
      <c r="F14" s="8">
        <f>ROUND(D14*E14,2)</f>
        <v>0</v>
      </c>
    </row>
    <row r="15" spans="1:6" ht="12" customHeight="1" x14ac:dyDescent="0.2">
      <c r="A15" s="3"/>
      <c r="B15" s="9" t="s">
        <v>82</v>
      </c>
      <c r="C15" s="4"/>
      <c r="D15" s="6">
        <f>2*(26.6+15.8)</f>
        <v>84.800000000000011</v>
      </c>
      <c r="E15" s="8"/>
      <c r="F15" s="8"/>
    </row>
    <row r="16" spans="1:6" ht="12" customHeight="1" x14ac:dyDescent="0.2">
      <c r="A16" s="3"/>
      <c r="B16" s="9" t="s">
        <v>83</v>
      </c>
      <c r="C16" s="4"/>
      <c r="D16" s="6">
        <f>2*(14.85+15.8)</f>
        <v>61.3</v>
      </c>
      <c r="E16" s="8"/>
      <c r="F16" s="8"/>
    </row>
    <row r="17" spans="1:6" ht="12" customHeight="1" x14ac:dyDescent="0.2">
      <c r="A17" s="3"/>
      <c r="B17" s="9" t="s">
        <v>84</v>
      </c>
      <c r="C17" s="4"/>
      <c r="D17" s="6">
        <f>2*48+18</f>
        <v>114</v>
      </c>
      <c r="E17" s="8"/>
      <c r="F17" s="8"/>
    </row>
    <row r="18" spans="1:6" ht="12" customHeight="1" x14ac:dyDescent="0.2">
      <c r="A18" s="3"/>
      <c r="B18" s="9" t="s">
        <v>85</v>
      </c>
      <c r="C18" s="4"/>
      <c r="D18" s="6">
        <f>2*(12+48+3)</f>
        <v>126</v>
      </c>
      <c r="E18" s="8"/>
      <c r="F18" s="8"/>
    </row>
    <row r="19" spans="1:6" ht="12" customHeight="1" x14ac:dyDescent="0.2">
      <c r="A19" s="3"/>
      <c r="B19" s="9" t="s">
        <v>86</v>
      </c>
      <c r="C19" s="4"/>
      <c r="D19" s="6">
        <f>2*(48+17.5)</f>
        <v>131</v>
      </c>
      <c r="E19" s="8"/>
      <c r="F19" s="8"/>
    </row>
    <row r="20" spans="1:6" ht="12" customHeight="1" x14ac:dyDescent="0.2">
      <c r="A20" s="3"/>
      <c r="B20" s="9" t="s">
        <v>87</v>
      </c>
      <c r="C20" s="4"/>
      <c r="D20" s="6">
        <f>2*(50.85+12+18)</f>
        <v>161.69999999999999</v>
      </c>
      <c r="E20" s="8"/>
      <c r="F20" s="8"/>
    </row>
    <row r="21" spans="1:6" ht="12" customHeight="1" x14ac:dyDescent="0.2">
      <c r="A21" s="3">
        <v>3</v>
      </c>
      <c r="B21" s="9" t="s">
        <v>89</v>
      </c>
      <c r="C21" s="4"/>
      <c r="D21" s="6">
        <v>12</v>
      </c>
      <c r="E21" s="8"/>
      <c r="F21" s="8">
        <f t="shared" ref="F21:F42" si="1">ROUND(D21*E21,2)</f>
        <v>0</v>
      </c>
    </row>
    <row r="22" spans="1:6" ht="24" customHeight="1" x14ac:dyDescent="0.2">
      <c r="A22" s="3">
        <v>4</v>
      </c>
      <c r="B22" s="9" t="s">
        <v>174</v>
      </c>
      <c r="C22" s="4" t="s">
        <v>63</v>
      </c>
      <c r="D22" s="6">
        <f>D6</f>
        <v>3695.0599999999995</v>
      </c>
      <c r="E22" s="8"/>
      <c r="F22" s="8">
        <f t="shared" si="1"/>
        <v>0</v>
      </c>
    </row>
    <row r="23" spans="1:6" ht="12" customHeight="1" x14ac:dyDescent="0.2">
      <c r="A23" s="3">
        <v>5</v>
      </c>
      <c r="B23" s="9" t="s">
        <v>152</v>
      </c>
      <c r="C23" s="4" t="s">
        <v>63</v>
      </c>
      <c r="D23" s="6">
        <f>D6</f>
        <v>3695.0599999999995</v>
      </c>
      <c r="E23" s="8"/>
      <c r="F23" s="8">
        <f t="shared" si="1"/>
        <v>0</v>
      </c>
    </row>
    <row r="24" spans="1:6" ht="24" customHeight="1" x14ac:dyDescent="0.2">
      <c r="A24" s="3">
        <v>6</v>
      </c>
      <c r="B24" s="9" t="s">
        <v>180</v>
      </c>
      <c r="C24" s="4" t="s">
        <v>63</v>
      </c>
      <c r="D24" s="6">
        <f>490.68+286.23+972.16+692.56+947.36+803.48+88.53</f>
        <v>4281</v>
      </c>
      <c r="E24" s="8"/>
      <c r="F24" s="53">
        <f t="shared" si="1"/>
        <v>0</v>
      </c>
    </row>
    <row r="25" spans="1:6" ht="24" customHeight="1" x14ac:dyDescent="0.2">
      <c r="A25" s="3">
        <v>7</v>
      </c>
      <c r="B25" s="7" t="s">
        <v>150</v>
      </c>
      <c r="C25" s="4" t="s">
        <v>63</v>
      </c>
      <c r="D25" s="6">
        <f>D14*0.7</f>
        <v>475.15999999999991</v>
      </c>
      <c r="E25" s="8"/>
      <c r="F25" s="8">
        <f t="shared" si="1"/>
        <v>0</v>
      </c>
    </row>
    <row r="26" spans="1:6" ht="24" customHeight="1" x14ac:dyDescent="0.2">
      <c r="A26" s="3">
        <v>8</v>
      </c>
      <c r="B26" s="7" t="s">
        <v>90</v>
      </c>
      <c r="C26" s="4" t="s">
        <v>63</v>
      </c>
      <c r="D26" s="6">
        <f>18+9+15.8+9+2*48+2*7</f>
        <v>161.80000000000001</v>
      </c>
      <c r="E26" s="8"/>
      <c r="F26" s="8">
        <f t="shared" si="1"/>
        <v>0</v>
      </c>
    </row>
    <row r="27" spans="1:6" ht="40.5" customHeight="1" x14ac:dyDescent="0.2">
      <c r="A27" s="3">
        <v>9</v>
      </c>
      <c r="B27" s="1" t="s">
        <v>177</v>
      </c>
      <c r="C27" s="4" t="s">
        <v>59</v>
      </c>
      <c r="D27" s="6">
        <v>120</v>
      </c>
      <c r="E27" s="8"/>
      <c r="F27" s="8">
        <f t="shared" si="1"/>
        <v>0</v>
      </c>
    </row>
    <row r="28" spans="1:6" ht="24" customHeight="1" x14ac:dyDescent="0.2">
      <c r="A28" s="3">
        <v>10</v>
      </c>
      <c r="B28" s="7" t="s">
        <v>11</v>
      </c>
      <c r="C28" s="3" t="s">
        <v>2</v>
      </c>
      <c r="D28" s="6">
        <v>12</v>
      </c>
      <c r="E28" s="8"/>
      <c r="F28" s="8">
        <f t="shared" si="1"/>
        <v>0</v>
      </c>
    </row>
    <row r="29" spans="1:6" ht="12" customHeight="1" x14ac:dyDescent="0.2">
      <c r="A29" s="3">
        <v>11</v>
      </c>
      <c r="B29" s="9" t="s">
        <v>91</v>
      </c>
      <c r="C29" s="3" t="s">
        <v>1</v>
      </c>
      <c r="D29" s="13">
        <f>5+4+8+4+8+5</f>
        <v>34</v>
      </c>
      <c r="E29" s="53"/>
      <c r="F29" s="8">
        <f t="shared" si="1"/>
        <v>0</v>
      </c>
    </row>
    <row r="30" spans="1:6" ht="24" customHeight="1" x14ac:dyDescent="0.2">
      <c r="A30" s="3">
        <v>12</v>
      </c>
      <c r="B30" s="9" t="s">
        <v>77</v>
      </c>
      <c r="C30" s="4" t="s">
        <v>72</v>
      </c>
      <c r="D30" s="13">
        <f>5*5+4*5+8*8+4*4+8*6+5*4</f>
        <v>193</v>
      </c>
      <c r="E30" s="8"/>
      <c r="F30" s="8">
        <f t="shared" si="1"/>
        <v>0</v>
      </c>
    </row>
    <row r="31" spans="1:6" ht="24" customHeight="1" x14ac:dyDescent="0.2">
      <c r="A31" s="3">
        <v>13</v>
      </c>
      <c r="B31" s="9" t="s">
        <v>78</v>
      </c>
      <c r="C31" s="4" t="s">
        <v>63</v>
      </c>
      <c r="D31" s="13">
        <f>5*5*0.6</f>
        <v>15</v>
      </c>
      <c r="E31" s="8"/>
      <c r="F31" s="8">
        <f t="shared" si="1"/>
        <v>0</v>
      </c>
    </row>
    <row r="32" spans="1:6" ht="24" customHeight="1" x14ac:dyDescent="0.2">
      <c r="A32" s="3">
        <v>14</v>
      </c>
      <c r="B32" s="9" t="s">
        <v>79</v>
      </c>
      <c r="C32" s="4" t="s">
        <v>63</v>
      </c>
      <c r="D32" s="6">
        <f>D31</f>
        <v>15</v>
      </c>
      <c r="E32" s="8"/>
      <c r="F32" s="8">
        <f t="shared" si="1"/>
        <v>0</v>
      </c>
    </row>
    <row r="33" spans="1:6" ht="24" customHeight="1" x14ac:dyDescent="0.2">
      <c r="A33" s="3">
        <v>15</v>
      </c>
      <c r="B33" s="9" t="s">
        <v>80</v>
      </c>
      <c r="C33" s="4" t="s">
        <v>63</v>
      </c>
      <c r="D33" s="6">
        <f>D31</f>
        <v>15</v>
      </c>
      <c r="E33" s="8"/>
      <c r="F33" s="8">
        <f t="shared" si="1"/>
        <v>0</v>
      </c>
    </row>
    <row r="34" spans="1:6" ht="40.5" customHeight="1" x14ac:dyDescent="0.2">
      <c r="A34" s="3">
        <v>16</v>
      </c>
      <c r="B34" s="9" t="s">
        <v>100</v>
      </c>
      <c r="C34" s="3" t="s">
        <v>59</v>
      </c>
      <c r="D34" s="13">
        <v>1</v>
      </c>
      <c r="E34" s="14"/>
      <c r="F34" s="8">
        <f t="shared" si="1"/>
        <v>0</v>
      </c>
    </row>
    <row r="35" spans="1:6" ht="24" customHeight="1" x14ac:dyDescent="0.2">
      <c r="A35" s="3">
        <v>17</v>
      </c>
      <c r="B35" s="7" t="s">
        <v>67</v>
      </c>
      <c r="C35" s="4" t="s">
        <v>72</v>
      </c>
      <c r="D35" s="6">
        <v>17</v>
      </c>
      <c r="E35" s="8"/>
      <c r="F35" s="8">
        <f t="shared" si="1"/>
        <v>0</v>
      </c>
    </row>
    <row r="36" spans="1:6" ht="24" customHeight="1" x14ac:dyDescent="0.2">
      <c r="A36" s="3">
        <v>18</v>
      </c>
      <c r="B36" s="9" t="s">
        <v>73</v>
      </c>
      <c r="C36" s="4" t="s">
        <v>72</v>
      </c>
      <c r="D36" s="6">
        <v>50</v>
      </c>
      <c r="E36" s="8"/>
      <c r="F36" s="8">
        <f t="shared" si="1"/>
        <v>0</v>
      </c>
    </row>
    <row r="37" spans="1:6" ht="24" customHeight="1" x14ac:dyDescent="0.2">
      <c r="A37" s="3">
        <v>19</v>
      </c>
      <c r="B37" s="7" t="s">
        <v>68</v>
      </c>
      <c r="C37" s="3" t="s">
        <v>59</v>
      </c>
      <c r="D37" s="13">
        <v>2</v>
      </c>
      <c r="E37" s="8"/>
      <c r="F37" s="8">
        <f t="shared" si="1"/>
        <v>0</v>
      </c>
    </row>
    <row r="38" spans="1:6" ht="24" customHeight="1" x14ac:dyDescent="0.2">
      <c r="A38" s="3">
        <v>20</v>
      </c>
      <c r="B38" s="7" t="s">
        <v>69</v>
      </c>
      <c r="C38" s="4" t="s">
        <v>2</v>
      </c>
      <c r="D38" s="6">
        <v>24</v>
      </c>
      <c r="E38" s="8"/>
      <c r="F38" s="8">
        <f t="shared" si="1"/>
        <v>0</v>
      </c>
    </row>
    <row r="39" spans="1:6" ht="24" customHeight="1" x14ac:dyDescent="0.2">
      <c r="A39" s="3">
        <v>21</v>
      </c>
      <c r="B39" s="7" t="s">
        <v>70</v>
      </c>
      <c r="C39" s="3" t="s">
        <v>59</v>
      </c>
      <c r="D39" s="13">
        <v>2</v>
      </c>
      <c r="E39" s="8"/>
      <c r="F39" s="8">
        <f t="shared" si="1"/>
        <v>0</v>
      </c>
    </row>
    <row r="40" spans="1:6" ht="12" customHeight="1" x14ac:dyDescent="0.2">
      <c r="A40" s="3">
        <v>22</v>
      </c>
      <c r="B40" s="9" t="s">
        <v>75</v>
      </c>
      <c r="C40" s="4" t="s">
        <v>74</v>
      </c>
      <c r="D40" s="13">
        <v>2</v>
      </c>
      <c r="E40" s="53"/>
      <c r="F40" s="8">
        <f t="shared" si="1"/>
        <v>0</v>
      </c>
    </row>
    <row r="41" spans="1:6" ht="24" customHeight="1" x14ac:dyDescent="0.2">
      <c r="A41" s="3">
        <v>23</v>
      </c>
      <c r="B41" s="9" t="s">
        <v>76</v>
      </c>
      <c r="C41" s="3" t="s">
        <v>59</v>
      </c>
      <c r="D41" s="13">
        <v>1</v>
      </c>
      <c r="E41" s="15"/>
      <c r="F41" s="8">
        <f t="shared" si="1"/>
        <v>0</v>
      </c>
    </row>
    <row r="42" spans="1:6" ht="12" customHeight="1" x14ac:dyDescent="0.2">
      <c r="A42" s="3">
        <v>24</v>
      </c>
      <c r="B42" s="9" t="s">
        <v>64</v>
      </c>
      <c r="C42" s="3" t="s">
        <v>18</v>
      </c>
      <c r="D42" s="6">
        <f>D6*0.025</f>
        <v>92.376499999999993</v>
      </c>
      <c r="E42" s="8"/>
      <c r="F42" s="8">
        <f t="shared" si="1"/>
        <v>0</v>
      </c>
    </row>
    <row r="43" spans="1:6" ht="15" x14ac:dyDescent="0.2">
      <c r="A43" s="39"/>
      <c r="B43" s="54"/>
      <c r="C43" s="81" t="s">
        <v>151</v>
      </c>
      <c r="D43" s="82"/>
      <c r="E43" s="82"/>
      <c r="F43" s="82"/>
    </row>
    <row r="44" spans="1:6" x14ac:dyDescent="0.2">
      <c r="E44" s="31" t="s">
        <v>120</v>
      </c>
      <c r="F44" s="31">
        <f>SUM(F6:F42)</f>
        <v>0</v>
      </c>
    </row>
    <row r="45" spans="1:6" x14ac:dyDescent="0.2">
      <c r="E45" s="29" t="s">
        <v>142</v>
      </c>
      <c r="F45" s="32">
        <f>0.1*F44</f>
        <v>0</v>
      </c>
    </row>
    <row r="46" spans="1:6" x14ac:dyDescent="0.2">
      <c r="E46" s="29" t="s">
        <v>143</v>
      </c>
      <c r="F46" s="31">
        <f>SUM(F44:F45)</f>
        <v>0</v>
      </c>
    </row>
    <row r="47" spans="1:6" x14ac:dyDescent="0.2">
      <c r="E47" s="29" t="s">
        <v>121</v>
      </c>
      <c r="F47" s="32">
        <f>0.2*F46</f>
        <v>0</v>
      </c>
    </row>
    <row r="48" spans="1:6" x14ac:dyDescent="0.2">
      <c r="E48" s="29" t="s">
        <v>122</v>
      </c>
      <c r="F48" s="31">
        <f>SUM(F46:F47)</f>
        <v>0</v>
      </c>
    </row>
  </sheetData>
  <autoFilter ref="A4:F4"/>
  <mergeCells count="3">
    <mergeCell ref="A2:F2"/>
    <mergeCell ref="C43:F43"/>
    <mergeCell ref="A5:D5"/>
  </mergeCells>
  <pageMargins left="0.70866141732283472" right="0.39370078740157483" top="0.39370078740157483" bottom="0.3937007874015748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1"/>
  <sheetViews>
    <sheetView workbookViewId="0">
      <pane ySplit="4" topLeftCell="A46" activePane="bottomLeft" state="frozen"/>
      <selection pane="bottomLeft" activeCell="B54" sqref="B54"/>
    </sheetView>
  </sheetViews>
  <sheetFormatPr defaultRowHeight="12.75" x14ac:dyDescent="0.2"/>
  <cols>
    <col min="1" max="1" width="5.7109375" style="16" customWidth="1"/>
    <col min="2" max="2" width="42.140625" style="17" customWidth="1"/>
    <col min="3" max="3" width="9.140625" style="18"/>
    <col min="4" max="4" width="13.140625" style="19" customWidth="1"/>
    <col min="5" max="5" width="10.5703125" style="19" customWidth="1"/>
    <col min="6" max="6" width="16.42578125" style="19" customWidth="1"/>
    <col min="7" max="16384" width="9.140625" style="5"/>
  </cols>
  <sheetData>
    <row r="2" spans="1:6" ht="15" customHeight="1" x14ac:dyDescent="0.2">
      <c r="A2" s="80" t="s">
        <v>56</v>
      </c>
      <c r="B2" s="80"/>
      <c r="C2" s="80"/>
      <c r="D2" s="80"/>
      <c r="E2" s="80"/>
      <c r="F2" s="80"/>
    </row>
    <row r="4" spans="1:6" s="26" customFormat="1" ht="21" customHeight="1" x14ac:dyDescent="0.2">
      <c r="A4" s="2" t="s">
        <v>0</v>
      </c>
      <c r="B4" s="10" t="s">
        <v>3</v>
      </c>
      <c r="C4" s="2" t="s">
        <v>21</v>
      </c>
      <c r="D4" s="11" t="s">
        <v>22</v>
      </c>
      <c r="E4" s="11" t="s">
        <v>55</v>
      </c>
      <c r="F4" s="11" t="s">
        <v>57</v>
      </c>
    </row>
    <row r="5" spans="1:6" s="27" customFormat="1" ht="15" customHeight="1" x14ac:dyDescent="0.2">
      <c r="A5" s="83" t="s">
        <v>46</v>
      </c>
      <c r="B5" s="83"/>
      <c r="C5" s="83"/>
      <c r="D5" s="83"/>
      <c r="E5" s="68"/>
      <c r="F5" s="12"/>
    </row>
    <row r="6" spans="1:6" s="27" customFormat="1" ht="15" customHeight="1" x14ac:dyDescent="0.2">
      <c r="A6" s="83" t="s">
        <v>45</v>
      </c>
      <c r="B6" s="83"/>
      <c r="C6" s="83"/>
      <c r="D6" s="83"/>
      <c r="E6" s="68"/>
      <c r="F6" s="12"/>
    </row>
    <row r="7" spans="1:6" ht="13.5" customHeight="1" x14ac:dyDescent="0.2">
      <c r="A7" s="3">
        <v>1</v>
      </c>
      <c r="B7" s="7" t="s">
        <v>9</v>
      </c>
      <c r="C7" s="4" t="s">
        <v>62</v>
      </c>
      <c r="D7" s="6">
        <v>144</v>
      </c>
      <c r="E7" s="8"/>
      <c r="F7" s="8">
        <f t="shared" ref="F7:F17" si="0">ROUND(D7*E7,2)</f>
        <v>0</v>
      </c>
    </row>
    <row r="8" spans="1:6" ht="25.5" x14ac:dyDescent="0.2">
      <c r="A8" s="3">
        <v>2</v>
      </c>
      <c r="B8" s="7" t="s">
        <v>8</v>
      </c>
      <c r="C8" s="3" t="s">
        <v>2</v>
      </c>
      <c r="D8" s="6">
        <v>31.4</v>
      </c>
      <c r="E8" s="8"/>
      <c r="F8" s="8">
        <f t="shared" si="0"/>
        <v>0</v>
      </c>
    </row>
    <row r="9" spans="1:6" ht="25.5" x14ac:dyDescent="0.2">
      <c r="A9" s="3">
        <v>3</v>
      </c>
      <c r="B9" s="9" t="s">
        <v>178</v>
      </c>
      <c r="C9" s="4" t="s">
        <v>62</v>
      </c>
      <c r="D9" s="6">
        <v>7.2</v>
      </c>
      <c r="E9" s="8"/>
      <c r="F9" s="8">
        <f t="shared" si="0"/>
        <v>0</v>
      </c>
    </row>
    <row r="10" spans="1:6" ht="25.5" x14ac:dyDescent="0.2">
      <c r="A10" s="3">
        <v>4</v>
      </c>
      <c r="B10" s="9" t="s">
        <v>174</v>
      </c>
      <c r="C10" s="4" t="s">
        <v>62</v>
      </c>
      <c r="D10" s="6">
        <v>144</v>
      </c>
      <c r="E10" s="8"/>
      <c r="F10" s="8">
        <f t="shared" si="0"/>
        <v>0</v>
      </c>
    </row>
    <row r="11" spans="1:6" ht="25.5" x14ac:dyDescent="0.2">
      <c r="A11" s="3">
        <v>5</v>
      </c>
      <c r="B11" s="7" t="s">
        <v>19</v>
      </c>
      <c r="C11" s="4" t="s">
        <v>62</v>
      </c>
      <c r="D11" s="6">
        <v>144</v>
      </c>
      <c r="E11" s="8"/>
      <c r="F11" s="8">
        <f t="shared" si="0"/>
        <v>0</v>
      </c>
    </row>
    <row r="12" spans="1:6" ht="25.5" x14ac:dyDescent="0.2">
      <c r="A12" s="3">
        <v>6</v>
      </c>
      <c r="B12" s="9" t="s">
        <v>180</v>
      </c>
      <c r="C12" s="4" t="s">
        <v>63</v>
      </c>
      <c r="D12" s="6">
        <v>162.91999999999999</v>
      </c>
      <c r="E12" s="8"/>
      <c r="F12" s="8">
        <f t="shared" si="0"/>
        <v>0</v>
      </c>
    </row>
    <row r="13" spans="1:6" ht="51" x14ac:dyDescent="0.2">
      <c r="A13" s="3">
        <v>7</v>
      </c>
      <c r="B13" s="9" t="s">
        <v>153</v>
      </c>
      <c r="C13" s="4" t="s">
        <v>63</v>
      </c>
      <c r="D13" s="6">
        <v>29</v>
      </c>
      <c r="E13" s="8"/>
      <c r="F13" s="8">
        <f t="shared" si="0"/>
        <v>0</v>
      </c>
    </row>
    <row r="14" spans="1:6" x14ac:dyDescent="0.2">
      <c r="A14" s="3">
        <v>8</v>
      </c>
      <c r="B14" s="9" t="s">
        <v>154</v>
      </c>
      <c r="C14" s="3" t="s">
        <v>1</v>
      </c>
      <c r="D14" s="6">
        <v>4</v>
      </c>
      <c r="E14" s="8"/>
      <c r="F14" s="8">
        <f t="shared" si="0"/>
        <v>0</v>
      </c>
    </row>
    <row r="15" spans="1:6" ht="25.5" x14ac:dyDescent="0.2">
      <c r="A15" s="3">
        <v>9</v>
      </c>
      <c r="B15" s="9" t="s">
        <v>65</v>
      </c>
      <c r="C15" s="3" t="s">
        <v>1</v>
      </c>
      <c r="D15" s="6">
        <v>4</v>
      </c>
      <c r="E15" s="8"/>
      <c r="F15" s="8">
        <f t="shared" si="0"/>
        <v>0</v>
      </c>
    </row>
    <row r="16" spans="1:6" ht="25.5" x14ac:dyDescent="0.2">
      <c r="A16" s="3">
        <v>10</v>
      </c>
      <c r="B16" s="42" t="s">
        <v>66</v>
      </c>
      <c r="C16" s="43" t="s">
        <v>2</v>
      </c>
      <c r="D16" s="56">
        <v>16</v>
      </c>
      <c r="E16" s="38"/>
      <c r="F16" s="38">
        <f t="shared" si="0"/>
        <v>0</v>
      </c>
    </row>
    <row r="17" spans="1:6" ht="15" x14ac:dyDescent="0.2">
      <c r="A17" s="3">
        <v>11</v>
      </c>
      <c r="B17" s="9" t="s">
        <v>64</v>
      </c>
      <c r="C17" s="55" t="s">
        <v>159</v>
      </c>
      <c r="D17" s="6">
        <f>D7*0.03</f>
        <v>4.32</v>
      </c>
      <c r="E17" s="8"/>
      <c r="F17" s="8">
        <f t="shared" si="0"/>
        <v>0</v>
      </c>
    </row>
    <row r="18" spans="1:6" ht="13.5" x14ac:dyDescent="0.2">
      <c r="A18" s="39"/>
      <c r="B18" s="54"/>
      <c r="C18" s="57"/>
      <c r="D18" s="41"/>
      <c r="E18" s="31" t="s">
        <v>120</v>
      </c>
      <c r="F18" s="31">
        <f>SUM(F7:F17)</f>
        <v>0</v>
      </c>
    </row>
    <row r="19" spans="1:6" ht="13.5" x14ac:dyDescent="0.2">
      <c r="A19" s="39"/>
      <c r="B19" s="54"/>
      <c r="C19" s="57"/>
      <c r="D19" s="41"/>
      <c r="E19" s="29" t="s">
        <v>142</v>
      </c>
      <c r="F19" s="32">
        <f>0.1*F18</f>
        <v>0</v>
      </c>
    </row>
    <row r="20" spans="1:6" ht="13.5" x14ac:dyDescent="0.2">
      <c r="A20" s="39"/>
      <c r="B20" s="54"/>
      <c r="C20" s="57"/>
      <c r="D20" s="41"/>
      <c r="E20" s="29" t="s">
        <v>143</v>
      </c>
      <c r="F20" s="31">
        <f>SUM(F18:F19)</f>
        <v>0</v>
      </c>
    </row>
    <row r="21" spans="1:6" ht="13.5" x14ac:dyDescent="0.2">
      <c r="A21" s="39"/>
      <c r="B21" s="54"/>
      <c r="C21" s="57"/>
      <c r="D21" s="41"/>
      <c r="E21" s="29" t="s">
        <v>121</v>
      </c>
      <c r="F21" s="32">
        <f>0.2*F20</f>
        <v>0</v>
      </c>
    </row>
    <row r="22" spans="1:6" ht="13.5" x14ac:dyDescent="0.2">
      <c r="A22" s="39"/>
      <c r="B22" s="54"/>
      <c r="C22" s="57"/>
      <c r="D22" s="41"/>
      <c r="E22" s="29" t="s">
        <v>122</v>
      </c>
      <c r="F22" s="31">
        <f>SUM(F20:F21)</f>
        <v>0</v>
      </c>
    </row>
    <row r="23" spans="1:6" s="27" customFormat="1" ht="14.25" customHeight="1" x14ac:dyDescent="0.2">
      <c r="A23" s="83" t="s">
        <v>48</v>
      </c>
      <c r="B23" s="83"/>
      <c r="C23" s="83"/>
      <c r="D23" s="83"/>
      <c r="E23" s="68"/>
      <c r="F23" s="12">
        <f>SUM(F24:F51)</f>
        <v>0</v>
      </c>
    </row>
    <row r="24" spans="1:6" x14ac:dyDescent="0.2">
      <c r="A24" s="3">
        <v>1</v>
      </c>
      <c r="B24" s="7" t="s">
        <v>26</v>
      </c>
      <c r="C24" s="4" t="s">
        <v>2</v>
      </c>
      <c r="D24" s="6">
        <v>375</v>
      </c>
      <c r="E24" s="8"/>
      <c r="F24" s="8">
        <f t="shared" ref="F24:F51" si="1">ROUND(D24*E24,2)</f>
        <v>0</v>
      </c>
    </row>
    <row r="25" spans="1:6" ht="15" x14ac:dyDescent="0.2">
      <c r="A25" s="3">
        <v>2</v>
      </c>
      <c r="B25" s="7" t="s">
        <v>9</v>
      </c>
      <c r="C25" s="4" t="s">
        <v>63</v>
      </c>
      <c r="D25" s="6">
        <v>846.90000000000009</v>
      </c>
      <c r="E25" s="8"/>
      <c r="F25" s="8">
        <f t="shared" si="1"/>
        <v>0</v>
      </c>
    </row>
    <row r="26" spans="1:6" ht="25.5" x14ac:dyDescent="0.2">
      <c r="A26" s="3">
        <v>3</v>
      </c>
      <c r="B26" s="7" t="s">
        <v>8</v>
      </c>
      <c r="C26" s="3" t="s">
        <v>2</v>
      </c>
      <c r="D26" s="6">
        <v>200</v>
      </c>
      <c r="E26" s="8"/>
      <c r="F26" s="8">
        <f>ROUND(D26*E26,2)</f>
        <v>0</v>
      </c>
    </row>
    <row r="27" spans="1:6" ht="25.5" x14ac:dyDescent="0.2">
      <c r="A27" s="3">
        <v>4</v>
      </c>
      <c r="B27" s="9" t="s">
        <v>174</v>
      </c>
      <c r="C27" s="4" t="s">
        <v>63</v>
      </c>
      <c r="D27" s="6">
        <v>846.90000000000009</v>
      </c>
      <c r="E27" s="8"/>
      <c r="F27" s="8">
        <f t="shared" si="1"/>
        <v>0</v>
      </c>
    </row>
    <row r="28" spans="1:6" ht="25.5" x14ac:dyDescent="0.2">
      <c r="A28" s="3">
        <v>5</v>
      </c>
      <c r="B28" s="7" t="s">
        <v>19</v>
      </c>
      <c r="C28" s="4" t="s">
        <v>63</v>
      </c>
      <c r="D28" s="6">
        <v>846.90000000000009</v>
      </c>
      <c r="E28" s="8"/>
      <c r="F28" s="8">
        <f t="shared" si="1"/>
        <v>0</v>
      </c>
    </row>
    <row r="29" spans="1:6" ht="25.5" x14ac:dyDescent="0.2">
      <c r="A29" s="3">
        <v>6</v>
      </c>
      <c r="B29" s="9" t="s">
        <v>180</v>
      </c>
      <c r="C29" s="4" t="s">
        <v>63</v>
      </c>
      <c r="D29" s="6">
        <v>946.98</v>
      </c>
      <c r="E29" s="8"/>
      <c r="F29" s="8">
        <f t="shared" si="1"/>
        <v>0</v>
      </c>
    </row>
    <row r="30" spans="1:6" ht="38.25" x14ac:dyDescent="0.2">
      <c r="A30" s="3">
        <v>7</v>
      </c>
      <c r="B30" s="7" t="s">
        <v>47</v>
      </c>
      <c r="C30" s="4" t="s">
        <v>63</v>
      </c>
      <c r="D30" s="6">
        <v>121.45</v>
      </c>
      <c r="E30" s="8"/>
      <c r="F30" s="8">
        <f t="shared" si="1"/>
        <v>0</v>
      </c>
    </row>
    <row r="31" spans="1:6" ht="38.25" x14ac:dyDescent="0.2">
      <c r="A31" s="3">
        <v>8</v>
      </c>
      <c r="B31" s="7" t="s">
        <v>90</v>
      </c>
      <c r="C31" s="4" t="s">
        <v>63</v>
      </c>
      <c r="D31" s="6">
        <f>32.2*0.5</f>
        <v>16.100000000000001</v>
      </c>
      <c r="E31" s="8"/>
      <c r="F31" s="8">
        <f t="shared" si="1"/>
        <v>0</v>
      </c>
    </row>
    <row r="32" spans="1:6" ht="25.5" x14ac:dyDescent="0.2">
      <c r="A32" s="3">
        <v>9</v>
      </c>
      <c r="B32" s="9" t="s">
        <v>71</v>
      </c>
      <c r="C32" s="3" t="s">
        <v>1</v>
      </c>
      <c r="D32" s="6">
        <v>6</v>
      </c>
      <c r="E32" s="8"/>
      <c r="F32" s="8">
        <f t="shared" si="1"/>
        <v>0</v>
      </c>
    </row>
    <row r="33" spans="1:6" ht="25.5" x14ac:dyDescent="0.2">
      <c r="A33" s="3">
        <v>10</v>
      </c>
      <c r="B33" s="9" t="s">
        <v>77</v>
      </c>
      <c r="C33" s="4" t="s">
        <v>72</v>
      </c>
      <c r="D33" s="6">
        <v>26</v>
      </c>
      <c r="E33" s="8"/>
      <c r="F33" s="8">
        <f t="shared" si="1"/>
        <v>0</v>
      </c>
    </row>
    <row r="34" spans="1:6" ht="39" customHeight="1" x14ac:dyDescent="0.2">
      <c r="A34" s="3">
        <v>11</v>
      </c>
      <c r="B34" s="9" t="s">
        <v>179</v>
      </c>
      <c r="C34" s="4" t="s">
        <v>63</v>
      </c>
      <c r="D34" s="6">
        <f>6*4*0.6</f>
        <v>14.399999999999999</v>
      </c>
      <c r="E34" s="8"/>
      <c r="F34" s="8">
        <f t="shared" si="1"/>
        <v>0</v>
      </c>
    </row>
    <row r="35" spans="1:6" ht="25.5" x14ac:dyDescent="0.2">
      <c r="A35" s="3">
        <v>12</v>
      </c>
      <c r="B35" s="9" t="s">
        <v>155</v>
      </c>
      <c r="C35" s="4" t="s">
        <v>63</v>
      </c>
      <c r="D35" s="6">
        <f>D34</f>
        <v>14.399999999999999</v>
      </c>
      <c r="E35" s="8"/>
      <c r="F35" s="8">
        <f t="shared" si="1"/>
        <v>0</v>
      </c>
    </row>
    <row r="36" spans="1:6" ht="14.25" x14ac:dyDescent="0.2">
      <c r="A36" s="3">
        <v>13</v>
      </c>
      <c r="B36" s="9" t="s">
        <v>109</v>
      </c>
      <c r="C36" s="4" t="s">
        <v>105</v>
      </c>
      <c r="D36" s="6">
        <f>D35</f>
        <v>14.399999999999999</v>
      </c>
      <c r="E36" s="8"/>
      <c r="F36" s="8">
        <f t="shared" si="1"/>
        <v>0</v>
      </c>
    </row>
    <row r="37" spans="1:6" ht="25.5" x14ac:dyDescent="0.2">
      <c r="A37" s="3">
        <v>14</v>
      </c>
      <c r="B37" s="9" t="s">
        <v>80</v>
      </c>
      <c r="C37" s="4" t="s">
        <v>63</v>
      </c>
      <c r="D37" s="6">
        <f>D34</f>
        <v>14.399999999999999</v>
      </c>
      <c r="E37" s="8"/>
      <c r="F37" s="8">
        <f t="shared" si="1"/>
        <v>0</v>
      </c>
    </row>
    <row r="38" spans="1:6" ht="25.5" x14ac:dyDescent="0.2">
      <c r="A38" s="3">
        <v>15</v>
      </c>
      <c r="B38" s="7" t="s">
        <v>49</v>
      </c>
      <c r="C38" s="3" t="s">
        <v>1</v>
      </c>
      <c r="D38" s="6">
        <v>28</v>
      </c>
      <c r="E38" s="8"/>
      <c r="F38" s="8">
        <f t="shared" si="1"/>
        <v>0</v>
      </c>
    </row>
    <row r="39" spans="1:6" ht="25.5" x14ac:dyDescent="0.2">
      <c r="A39" s="3">
        <v>16</v>
      </c>
      <c r="B39" s="7" t="s">
        <v>50</v>
      </c>
      <c r="C39" s="3" t="s">
        <v>4</v>
      </c>
      <c r="D39" s="6">
        <v>0.64000000000000012</v>
      </c>
      <c r="E39" s="8"/>
      <c r="F39" s="8">
        <f t="shared" si="1"/>
        <v>0</v>
      </c>
    </row>
    <row r="40" spans="1:6" ht="25.5" x14ac:dyDescent="0.2">
      <c r="A40" s="3">
        <v>17</v>
      </c>
      <c r="B40" s="7" t="s">
        <v>51</v>
      </c>
      <c r="C40" s="3" t="s">
        <v>1</v>
      </c>
      <c r="D40" s="6">
        <v>4</v>
      </c>
      <c r="E40" s="8"/>
      <c r="F40" s="8">
        <f t="shared" si="1"/>
        <v>0</v>
      </c>
    </row>
    <row r="41" spans="1:6" ht="25.5" x14ac:dyDescent="0.2">
      <c r="A41" s="3">
        <v>18</v>
      </c>
      <c r="B41" s="7" t="s">
        <v>52</v>
      </c>
      <c r="C41" s="3" t="s">
        <v>4</v>
      </c>
      <c r="D41" s="6">
        <v>1.3</v>
      </c>
      <c r="E41" s="8"/>
      <c r="F41" s="8">
        <f t="shared" si="1"/>
        <v>0</v>
      </c>
    </row>
    <row r="42" spans="1:6" ht="38.25" x14ac:dyDescent="0.2">
      <c r="A42" s="3">
        <v>19</v>
      </c>
      <c r="B42" s="9" t="s">
        <v>117</v>
      </c>
      <c r="C42" s="3" t="s">
        <v>59</v>
      </c>
      <c r="D42" s="6">
        <v>1</v>
      </c>
      <c r="E42" s="14"/>
      <c r="F42" s="8">
        <f t="shared" si="1"/>
        <v>0</v>
      </c>
    </row>
    <row r="43" spans="1:6" ht="25.5" x14ac:dyDescent="0.2">
      <c r="A43" s="3">
        <v>20</v>
      </c>
      <c r="B43" s="7" t="s">
        <v>67</v>
      </c>
      <c r="C43" s="4" t="s">
        <v>72</v>
      </c>
      <c r="D43" s="6">
        <v>17</v>
      </c>
      <c r="E43" s="8"/>
      <c r="F43" s="8">
        <f t="shared" si="1"/>
        <v>0</v>
      </c>
    </row>
    <row r="44" spans="1:6" ht="25.5" x14ac:dyDescent="0.2">
      <c r="A44" s="3">
        <v>21</v>
      </c>
      <c r="B44" s="9" t="s">
        <v>73</v>
      </c>
      <c r="C44" s="4" t="s">
        <v>72</v>
      </c>
      <c r="D44" s="6">
        <v>40</v>
      </c>
      <c r="E44" s="8"/>
      <c r="F44" s="8">
        <f t="shared" si="1"/>
        <v>0</v>
      </c>
    </row>
    <row r="45" spans="1:6" ht="25.5" x14ac:dyDescent="0.2">
      <c r="A45" s="3">
        <v>22</v>
      </c>
      <c r="B45" s="7" t="s">
        <v>68</v>
      </c>
      <c r="C45" s="3" t="s">
        <v>59</v>
      </c>
      <c r="D45" s="13">
        <v>2</v>
      </c>
      <c r="E45" s="8"/>
      <c r="F45" s="8">
        <f t="shared" si="1"/>
        <v>0</v>
      </c>
    </row>
    <row r="46" spans="1:6" ht="51" x14ac:dyDescent="0.2">
      <c r="A46" s="3">
        <v>23</v>
      </c>
      <c r="B46" s="9" t="s">
        <v>173</v>
      </c>
      <c r="C46" s="3" t="s">
        <v>1</v>
      </c>
      <c r="D46" s="25">
        <v>6</v>
      </c>
      <c r="E46" s="24"/>
      <c r="F46" s="8">
        <f t="shared" si="1"/>
        <v>0</v>
      </c>
    </row>
    <row r="47" spans="1:6" ht="25.5" x14ac:dyDescent="0.2">
      <c r="A47" s="3">
        <v>24</v>
      </c>
      <c r="B47" s="7" t="s">
        <v>69</v>
      </c>
      <c r="C47" s="4" t="s">
        <v>2</v>
      </c>
      <c r="D47" s="6">
        <v>24</v>
      </c>
      <c r="E47" s="8"/>
      <c r="F47" s="8">
        <f t="shared" si="1"/>
        <v>0</v>
      </c>
    </row>
    <row r="48" spans="1:6" ht="25.5" x14ac:dyDescent="0.2">
      <c r="A48" s="3">
        <v>25</v>
      </c>
      <c r="B48" s="7" t="s">
        <v>70</v>
      </c>
      <c r="C48" s="3" t="s">
        <v>59</v>
      </c>
      <c r="D48" s="13">
        <v>2</v>
      </c>
      <c r="E48" s="8"/>
      <c r="F48" s="8">
        <f t="shared" si="1"/>
        <v>0</v>
      </c>
    </row>
    <row r="49" spans="1:6" ht="25.5" x14ac:dyDescent="0.2">
      <c r="A49" s="3">
        <v>26</v>
      </c>
      <c r="B49" s="9" t="s">
        <v>75</v>
      </c>
      <c r="C49" s="4" t="s">
        <v>74</v>
      </c>
      <c r="D49" s="13">
        <v>2</v>
      </c>
      <c r="E49" s="8"/>
      <c r="F49" s="8">
        <f t="shared" si="1"/>
        <v>0</v>
      </c>
    </row>
    <row r="50" spans="1:6" ht="25.5" x14ac:dyDescent="0.2">
      <c r="A50" s="3">
        <v>27</v>
      </c>
      <c r="B50" s="9" t="s">
        <v>76</v>
      </c>
      <c r="C50" s="3" t="s">
        <v>59</v>
      </c>
      <c r="D50" s="13">
        <v>1</v>
      </c>
      <c r="E50" s="67"/>
      <c r="F50" s="8">
        <f t="shared" si="1"/>
        <v>0</v>
      </c>
    </row>
    <row r="51" spans="1:6" ht="15" x14ac:dyDescent="0.2">
      <c r="A51" s="3">
        <v>28</v>
      </c>
      <c r="B51" s="9" t="s">
        <v>64</v>
      </c>
      <c r="C51" s="55" t="s">
        <v>159</v>
      </c>
      <c r="D51" s="6">
        <v>25</v>
      </c>
      <c r="E51" s="8"/>
      <c r="F51" s="8">
        <f t="shared" si="1"/>
        <v>0</v>
      </c>
    </row>
    <row r="52" spans="1:6" s="27" customFormat="1" ht="15" customHeight="1" x14ac:dyDescent="0.2">
      <c r="A52" s="86" t="s">
        <v>172</v>
      </c>
      <c r="B52" s="87"/>
      <c r="C52" s="87"/>
      <c r="D52" s="87"/>
      <c r="E52" s="79"/>
      <c r="F52" s="12">
        <f>SUM(F53:F59)</f>
        <v>0</v>
      </c>
    </row>
    <row r="53" spans="1:6" ht="13.5" x14ac:dyDescent="0.2">
      <c r="A53" s="3">
        <v>1</v>
      </c>
      <c r="B53" s="7" t="s">
        <v>53</v>
      </c>
      <c r="C53" s="55" t="s">
        <v>158</v>
      </c>
      <c r="D53" s="6">
        <v>43.01</v>
      </c>
      <c r="E53" s="8"/>
      <c r="F53" s="8">
        <f t="shared" ref="F53:F59" si="2">ROUND(D53*E53,2)</f>
        <v>0</v>
      </c>
    </row>
    <row r="54" spans="1:6" ht="63.75" x14ac:dyDescent="0.2">
      <c r="A54" s="3">
        <v>2</v>
      </c>
      <c r="B54" s="7" t="s">
        <v>54</v>
      </c>
      <c r="C54" s="55" t="s">
        <v>158</v>
      </c>
      <c r="D54" s="6">
        <v>43.01</v>
      </c>
      <c r="E54" s="8"/>
      <c r="F54" s="8">
        <f t="shared" si="2"/>
        <v>0</v>
      </c>
    </row>
    <row r="55" spans="1:6" ht="25.5" x14ac:dyDescent="0.2">
      <c r="A55" s="3">
        <v>3</v>
      </c>
      <c r="B55" s="7" t="s">
        <v>41</v>
      </c>
      <c r="C55" s="3" t="s">
        <v>2</v>
      </c>
      <c r="D55" s="6">
        <v>16</v>
      </c>
      <c r="E55" s="8"/>
      <c r="F55" s="8">
        <f t="shared" si="2"/>
        <v>0</v>
      </c>
    </row>
    <row r="56" spans="1:6" ht="25.5" x14ac:dyDescent="0.2">
      <c r="A56" s="3">
        <v>4</v>
      </c>
      <c r="B56" s="7" t="s">
        <v>42</v>
      </c>
      <c r="C56" s="3" t="s">
        <v>2</v>
      </c>
      <c r="D56" s="6">
        <v>26.450000000000003</v>
      </c>
      <c r="E56" s="8"/>
      <c r="F56" s="8">
        <f t="shared" si="2"/>
        <v>0</v>
      </c>
    </row>
    <row r="57" spans="1:6" ht="25.5" x14ac:dyDescent="0.2">
      <c r="A57" s="3">
        <v>5</v>
      </c>
      <c r="B57" s="7" t="s">
        <v>43</v>
      </c>
      <c r="C57" s="3" t="s">
        <v>1</v>
      </c>
      <c r="D57" s="6">
        <v>2</v>
      </c>
      <c r="E57" s="8"/>
      <c r="F57" s="8">
        <f t="shared" si="2"/>
        <v>0</v>
      </c>
    </row>
    <row r="58" spans="1:6" ht="13.5" x14ac:dyDescent="0.2">
      <c r="A58" s="3">
        <v>6</v>
      </c>
      <c r="B58" s="7" t="s">
        <v>44</v>
      </c>
      <c r="C58" s="55" t="s">
        <v>158</v>
      </c>
      <c r="D58" s="6">
        <v>217.36</v>
      </c>
      <c r="E58" s="8"/>
      <c r="F58" s="8">
        <f t="shared" si="2"/>
        <v>0</v>
      </c>
    </row>
    <row r="59" spans="1:6" ht="15" x14ac:dyDescent="0.2">
      <c r="A59" s="3">
        <v>7</v>
      </c>
      <c r="B59" s="9" t="s">
        <v>64</v>
      </c>
      <c r="C59" s="55" t="s">
        <v>159</v>
      </c>
      <c r="D59" s="6">
        <v>1.29</v>
      </c>
      <c r="E59" s="8"/>
      <c r="F59" s="8">
        <f t="shared" si="2"/>
        <v>0</v>
      </c>
    </row>
    <row r="60" spans="1:6" x14ac:dyDescent="0.2">
      <c r="E60" s="29" t="s">
        <v>160</v>
      </c>
      <c r="F60" s="31">
        <f>F52+F23</f>
        <v>0</v>
      </c>
    </row>
    <row r="61" spans="1:6" x14ac:dyDescent="0.2">
      <c r="E61" s="29" t="s">
        <v>142</v>
      </c>
      <c r="F61" s="32">
        <f>0.1*F60</f>
        <v>0</v>
      </c>
    </row>
    <row r="62" spans="1:6" x14ac:dyDescent="0.2">
      <c r="E62" s="29" t="s">
        <v>143</v>
      </c>
      <c r="F62" s="31">
        <f>SUM(F60:F61)</f>
        <v>0</v>
      </c>
    </row>
    <row r="63" spans="1:6" x14ac:dyDescent="0.2">
      <c r="E63" s="29" t="s">
        <v>121</v>
      </c>
      <c r="F63" s="32">
        <f>0.2*F62</f>
        <v>0</v>
      </c>
    </row>
    <row r="64" spans="1:6" x14ac:dyDescent="0.2">
      <c r="E64" s="29" t="s">
        <v>122</v>
      </c>
      <c r="F64" s="31">
        <f>SUM(F62:F63)</f>
        <v>0</v>
      </c>
    </row>
    <row r="66" spans="3:6" ht="15" x14ac:dyDescent="0.2">
      <c r="C66" s="81" t="s">
        <v>161</v>
      </c>
      <c r="D66" s="82"/>
      <c r="E66" s="82"/>
      <c r="F66" s="82"/>
    </row>
    <row r="67" spans="3:6" x14ac:dyDescent="0.2">
      <c r="E67" s="35" t="s">
        <v>145</v>
      </c>
      <c r="F67" s="31">
        <f>F18+F60</f>
        <v>0</v>
      </c>
    </row>
    <row r="68" spans="3:6" x14ac:dyDescent="0.2">
      <c r="E68" s="29" t="s">
        <v>142</v>
      </c>
      <c r="F68" s="36">
        <f t="shared" ref="F68:F70" si="3">F19+F61</f>
        <v>0</v>
      </c>
    </row>
    <row r="69" spans="3:6" x14ac:dyDescent="0.2">
      <c r="E69" s="35" t="s">
        <v>146</v>
      </c>
      <c r="F69" s="31">
        <f t="shared" si="3"/>
        <v>0</v>
      </c>
    </row>
    <row r="70" spans="3:6" x14ac:dyDescent="0.2">
      <c r="E70" s="29" t="s">
        <v>121</v>
      </c>
      <c r="F70" s="36">
        <f t="shared" si="3"/>
        <v>0</v>
      </c>
    </row>
    <row r="71" spans="3:6" x14ac:dyDescent="0.2">
      <c r="E71" s="29" t="s">
        <v>122</v>
      </c>
      <c r="F71" s="31">
        <f>SUM(F69:F70)</f>
        <v>0</v>
      </c>
    </row>
  </sheetData>
  <autoFilter ref="A4:F59"/>
  <mergeCells count="6">
    <mergeCell ref="C66:F66"/>
    <mergeCell ref="A2:F2"/>
    <mergeCell ref="A5:D5"/>
    <mergeCell ref="A6:D6"/>
    <mergeCell ref="A23:D23"/>
    <mergeCell ref="A52:D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poz 1</vt:lpstr>
      <vt:lpstr>poz 2</vt:lpstr>
      <vt:lpstr>poz 3</vt:lpstr>
      <vt:lpstr>poz 4</vt:lpstr>
      <vt:lpstr>poz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Марияна Нешева</cp:lastModifiedBy>
  <cp:lastPrinted>2020-03-19T12:19:29Z</cp:lastPrinted>
  <dcterms:created xsi:type="dcterms:W3CDTF">2019-01-24T17:31:08Z</dcterms:created>
  <dcterms:modified xsi:type="dcterms:W3CDTF">2020-04-03T11:29:40Z</dcterms:modified>
</cp:coreProperties>
</file>